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voaaus.sharepoint.com/Shared Documents/Grants Documents/Lookup Tool/"/>
    </mc:Choice>
  </mc:AlternateContent>
  <xr:revisionPtr revIDLastSave="1283" documentId="8_{7440BE32-1762-4A9B-8083-2C393DAE8070}" xr6:coauthVersionLast="47" xr6:coauthVersionMax="47" xr10:uidLastSave="{ECD08337-3836-4975-B5D4-1F3D92A6F5E3}"/>
  <workbookProtection workbookAlgorithmName="SHA-512" workbookHashValue="2iFqogEEi1F2ZKyNTqvboGWSbzaE/jJwWIys9YyiuFDf4FXD7KVppdu8NjNtba83E0XDgmMZO6I5iYN9OqO6hQ==" workbookSaltValue="4+xgmAM7HGWFxYzXpz6ahw==" workbookSpinCount="100000" lockStructure="1"/>
  <bookViews>
    <workbookView xWindow="-120" yWindow="-120" windowWidth="29040" windowHeight="15720" tabRatio="881" xr2:uid="{5F16216A-F867-47E1-9334-AF1F9BA6D68D}"/>
  </bookViews>
  <sheets>
    <sheet name="City &amp; County Look-up" sheetId="23" r:id="rId1"/>
    <sheet name="Direct Dist. Details Look-up" sheetId="36" r:id="rId2"/>
    <sheet name="table for settlement look up" sheetId="37" state="hidden" r:id="rId3"/>
    <sheet name="Localities alpha" sheetId="5" state="hidden" r:id="rId4"/>
    <sheet name="Localities by region" sheetId="3" state="hidden" r:id="rId5"/>
    <sheet name="Approved individual amount data" sheetId="27" state="hidden" r:id="rId6"/>
    <sheet name="Approved gold standard amounts" sheetId="28" state="hidden" r:id="rId7"/>
    <sheet name="Direct share used as match data" sheetId="35" state="hidden" r:id="rId8"/>
    <sheet name="2025 coop match data" sheetId="38" state="hidden" r:id="rId9"/>
    <sheet name="Approved amendments" sheetId="31" state="hidden" r:id="rId10"/>
    <sheet name="Local dist eligible" sheetId="9" state="hidden" r:id="rId11"/>
    <sheet name="Local multi year dist" sheetId="24" state="hidden" r:id="rId12"/>
    <sheet name="Individual award multi year" sheetId="26" state="hidden" r:id="rId13"/>
    <sheet name="Multiyear data for vlookup" sheetId="25" state="hidden" r:id="rId14"/>
    <sheet name="Local dist tracking" sheetId="11" state="hidden" r:id="rId15"/>
    <sheet name="Indiv match sort" sheetId="15" state="hidden" r:id="rId16"/>
    <sheet name="Other data for vlookup" sheetId="33" state="hidden" r:id="rId17"/>
  </sheets>
  <externalReferences>
    <externalReference r:id="rId18"/>
  </externalReferences>
  <definedNames>
    <definedName name="_xlnm.Print_Area" localSheetId="0">'City &amp; County Look-up'!$B$6:$K$34</definedName>
    <definedName name="_xlnm.Print_Area" localSheetId="1">'Direct Dist. Details Look-up'!$B$5:$Y$38</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24" l="1"/>
  <c r="O4" i="37"/>
  <c r="O5" i="37"/>
  <c r="O6" i="37"/>
  <c r="O7" i="37"/>
  <c r="O8" i="37"/>
  <c r="O9" i="37"/>
  <c r="O10" i="37"/>
  <c r="O11" i="37"/>
  <c r="O12" i="37"/>
  <c r="O13" i="37"/>
  <c r="O14" i="37"/>
  <c r="O15" i="37"/>
  <c r="O16" i="37"/>
  <c r="O17" i="37"/>
  <c r="O18" i="37"/>
  <c r="O19" i="37"/>
  <c r="O20" i="37"/>
  <c r="O3" i="37"/>
  <c r="F21" i="37"/>
  <c r="G21" i="37"/>
  <c r="H21" i="37"/>
  <c r="I21" i="37"/>
  <c r="J21" i="37"/>
  <c r="K21" i="37"/>
  <c r="L21" i="37"/>
  <c r="M21" i="37"/>
  <c r="N21" i="37"/>
  <c r="E21" i="37"/>
  <c r="M41" i="24"/>
  <c r="O21" i="37" l="1"/>
  <c r="K9" i="24"/>
  <c r="K10" i="24"/>
  <c r="K11" i="24"/>
  <c r="K12" i="24"/>
  <c r="K13" i="24"/>
  <c r="K14" i="24"/>
  <c r="K15" i="24"/>
  <c r="K16" i="24"/>
  <c r="K17" i="24"/>
  <c r="K18" i="24"/>
  <c r="K19" i="24"/>
  <c r="K20" i="24"/>
  <c r="K21" i="24"/>
  <c r="K22" i="24"/>
  <c r="K8" i="24"/>
  <c r="K7" i="24"/>
  <c r="K6" i="24"/>
  <c r="K5" i="24"/>
  <c r="K56" i="24"/>
  <c r="E110" i="27"/>
  <c r="D100" i="35"/>
  <c r="E93" i="35"/>
  <c r="E87" i="28"/>
  <c r="E61" i="35"/>
  <c r="K23" i="24" l="1"/>
  <c r="E71" i="28"/>
  <c r="E71" i="35"/>
  <c r="E18" i="23"/>
  <c r="E114" i="35"/>
  <c r="E115" i="35"/>
  <c r="E117" i="35"/>
  <c r="E119" i="35"/>
  <c r="E120" i="35"/>
  <c r="E122" i="35"/>
  <c r="E123" i="35"/>
  <c r="E125" i="35"/>
  <c r="E126" i="35"/>
  <c r="E128" i="35"/>
  <c r="E130" i="35"/>
  <c r="E131" i="35"/>
  <c r="E132" i="35"/>
  <c r="E133" i="35"/>
  <c r="E134" i="35"/>
  <c r="E135" i="35"/>
  <c r="E110" i="35"/>
  <c r="E109" i="35"/>
  <c r="E113" i="35"/>
  <c r="E111" i="35"/>
  <c r="E95" i="35"/>
  <c r="E96" i="35"/>
  <c r="E97" i="35"/>
  <c r="E99" i="35"/>
  <c r="E100" i="35"/>
  <c r="E102" i="35"/>
  <c r="E103" i="35"/>
  <c r="E104" i="35"/>
  <c r="E105" i="35"/>
  <c r="E106" i="35"/>
  <c r="E107" i="35"/>
  <c r="E108" i="35"/>
  <c r="E76" i="35"/>
  <c r="E77" i="35"/>
  <c r="E78" i="35"/>
  <c r="E79" i="35"/>
  <c r="E80" i="35"/>
  <c r="E84" i="35"/>
  <c r="E85" i="35"/>
  <c r="E86" i="35"/>
  <c r="E87" i="35"/>
  <c r="E88" i="35"/>
  <c r="E89" i="35"/>
  <c r="E90" i="35"/>
  <c r="E91" i="35"/>
  <c r="E72" i="35"/>
  <c r="E73" i="35"/>
  <c r="E54" i="35"/>
  <c r="E55" i="35"/>
  <c r="E58" i="35"/>
  <c r="E59" i="35"/>
  <c r="E60" i="35"/>
  <c r="E49" i="35"/>
  <c r="E50" i="35"/>
  <c r="E51" i="35"/>
  <c r="E48" i="35"/>
  <c r="E44" i="35"/>
  <c r="E45" i="35"/>
  <c r="E4" i="35"/>
  <c r="E5" i="35"/>
  <c r="E6" i="35"/>
  <c r="E16" i="35"/>
  <c r="E20" i="35"/>
  <c r="E21" i="35"/>
  <c r="E22" i="35"/>
  <c r="E23" i="35"/>
  <c r="E24" i="35"/>
  <c r="E26" i="35"/>
  <c r="E27" i="35"/>
  <c r="E28" i="35"/>
  <c r="E29" i="35"/>
  <c r="E30" i="35"/>
  <c r="E31" i="35"/>
  <c r="E33" i="35"/>
  <c r="E35" i="35"/>
  <c r="E36" i="35"/>
  <c r="E3" i="35"/>
  <c r="E135" i="28"/>
  <c r="E133" i="28"/>
  <c r="E126" i="28"/>
  <c r="E128" i="28"/>
  <c r="E130" i="28"/>
  <c r="E131" i="28"/>
  <c r="E125" i="28"/>
  <c r="E119" i="28"/>
  <c r="E120" i="28"/>
  <c r="E122" i="28"/>
  <c r="E123" i="28"/>
  <c r="E114" i="28"/>
  <c r="E115" i="28"/>
  <c r="E113" i="28"/>
  <c r="E109" i="28"/>
  <c r="E111" i="28"/>
  <c r="E108" i="28"/>
  <c r="E99" i="28"/>
  <c r="E100" i="28"/>
  <c r="E102" i="28"/>
  <c r="E103" i="28"/>
  <c r="E104" i="28"/>
  <c r="E105" i="28"/>
  <c r="E106" i="28"/>
  <c r="E96" i="28"/>
  <c r="E95" i="28"/>
  <c r="E89" i="28"/>
  <c r="E90" i="28"/>
  <c r="E91" i="28"/>
  <c r="E93" i="28"/>
  <c r="E88" i="28"/>
  <c r="E76" i="28"/>
  <c r="E77" i="28"/>
  <c r="E78" i="28"/>
  <c r="E79" i="28"/>
  <c r="E80" i="28"/>
  <c r="E84" i="28"/>
  <c r="E85" i="28"/>
  <c r="E86" i="28"/>
  <c r="E66" i="28"/>
  <c r="E68" i="28"/>
  <c r="E72" i="28"/>
  <c r="E73" i="28"/>
  <c r="E62" i="28"/>
  <c r="E58" i="28"/>
  <c r="E54" i="28"/>
  <c r="E55" i="28"/>
  <c r="E49" i="28"/>
  <c r="E50" i="28"/>
  <c r="E51" i="28"/>
  <c r="E48" i="28"/>
  <c r="E41" i="28"/>
  <c r="E43" i="28"/>
  <c r="E44" i="28"/>
  <c r="E45" i="28"/>
  <c r="E36" i="28"/>
  <c r="E14" i="28"/>
  <c r="E16" i="28"/>
  <c r="E20" i="28"/>
  <c r="E21" i="28"/>
  <c r="E22" i="28"/>
  <c r="E23" i="28"/>
  <c r="E24" i="28"/>
  <c r="E27" i="28"/>
  <c r="E28" i="28"/>
  <c r="E29" i="28"/>
  <c r="E30" i="28"/>
  <c r="E31" i="28"/>
  <c r="E4" i="28"/>
  <c r="E5" i="28"/>
  <c r="E6" i="28"/>
  <c r="E3" i="28"/>
  <c r="E135" i="27"/>
  <c r="E133" i="27"/>
  <c r="E119" i="27"/>
  <c r="E120" i="27"/>
  <c r="E122" i="27"/>
  <c r="E123" i="27"/>
  <c r="E125" i="27"/>
  <c r="E126" i="27"/>
  <c r="E128" i="27"/>
  <c r="E130" i="27"/>
  <c r="E131" i="27"/>
  <c r="E114" i="27"/>
  <c r="E115" i="27"/>
  <c r="E113" i="27"/>
  <c r="E112" i="27"/>
  <c r="E111" i="27"/>
  <c r="E109" i="27"/>
  <c r="E107" i="27"/>
  <c r="E99" i="27"/>
  <c r="E100" i="27"/>
  <c r="E102" i="27"/>
  <c r="E103" i="27"/>
  <c r="E104" i="27"/>
  <c r="E105" i="27"/>
  <c r="E106" i="27"/>
  <c r="E96" i="27"/>
  <c r="E95" i="27"/>
  <c r="E89" i="27"/>
  <c r="E90" i="27"/>
  <c r="E91" i="27"/>
  <c r="E88" i="27"/>
  <c r="E87" i="27"/>
  <c r="E80" i="27"/>
  <c r="E84" i="27"/>
  <c r="E85" i="27"/>
  <c r="E86" i="27"/>
  <c r="E79" i="27"/>
  <c r="E76" i="27"/>
  <c r="E77" i="27"/>
  <c r="E66" i="27"/>
  <c r="E68" i="27"/>
  <c r="E71" i="27"/>
  <c r="E72" i="27"/>
  <c r="E73" i="27"/>
  <c r="E62" i="27"/>
  <c r="E61" i="27"/>
  <c r="E59" i="27"/>
  <c r="E58" i="27"/>
  <c r="E54" i="27"/>
  <c r="E55" i="27"/>
  <c r="E49" i="27"/>
  <c r="E50" i="27"/>
  <c r="E51" i="27"/>
  <c r="E48" i="27"/>
  <c r="E45" i="27"/>
  <c r="E44" i="27"/>
  <c r="E36" i="27"/>
  <c r="E23" i="27"/>
  <c r="E24" i="27"/>
  <c r="E26" i="27"/>
  <c r="E27" i="27"/>
  <c r="E28" i="27"/>
  <c r="E29" i="27"/>
  <c r="E30" i="27"/>
  <c r="E31" i="27"/>
  <c r="E33" i="27"/>
  <c r="E21" i="27"/>
  <c r="E22" i="27"/>
  <c r="E20" i="27"/>
  <c r="E5" i="27"/>
  <c r="E6" i="27"/>
  <c r="E4" i="27"/>
  <c r="E3" i="27"/>
  <c r="E52" i="27"/>
  <c r="E108" i="27"/>
  <c r="D87" i="24" l="1"/>
  <c r="E85" i="24"/>
  <c r="I62" i="24"/>
  <c r="G83" i="24" l="1"/>
  <c r="F83" i="24"/>
  <c r="E68" i="24"/>
  <c r="D82" i="24" s="1"/>
  <c r="H82" i="24" s="1"/>
  <c r="E1" i="24" l="1"/>
  <c r="N24" i="24"/>
  <c r="N33" i="24" s="1"/>
  <c r="N28" i="24"/>
  <c r="N25" i="24"/>
  <c r="J22" i="24"/>
  <c r="J6" i="24" l="1"/>
  <c r="J8" i="24"/>
  <c r="J5" i="24"/>
  <c r="I6" i="24"/>
  <c r="I17" i="24"/>
  <c r="I18" i="24"/>
  <c r="I19" i="24"/>
  <c r="I20" i="24"/>
  <c r="I21" i="24"/>
  <c r="I22" i="24"/>
  <c r="I5" i="24"/>
  <c r="J36" i="24" l="1"/>
  <c r="J7" i="24" s="1"/>
  <c r="G38" i="24"/>
  <c r="G39" i="24"/>
  <c r="G40" i="24"/>
  <c r="G41" i="24"/>
  <c r="G42" i="24"/>
  <c r="G37" i="24"/>
  <c r="G36" i="24"/>
  <c r="D60" i="24"/>
  <c r="G60" i="24"/>
  <c r="H74" i="24" s="1"/>
  <c r="F65" i="24"/>
  <c r="C36" i="24"/>
  <c r="L36" i="24" s="1"/>
  <c r="F36" i="24" l="1"/>
  <c r="F48" i="24" l="1"/>
  <c r="D10" i="28" l="1"/>
  <c r="D120" i="27" l="1"/>
  <c r="D61" i="27"/>
  <c r="D59" i="27"/>
  <c r="D41" i="27"/>
  <c r="I45" i="24"/>
  <c r="I16" i="24" s="1"/>
  <c r="I39" i="24"/>
  <c r="I10" i="24" s="1"/>
  <c r="I40" i="24"/>
  <c r="I11" i="24" s="1"/>
  <c r="I41" i="24"/>
  <c r="I12" i="24" s="1"/>
  <c r="I43" i="24"/>
  <c r="I14" i="24" s="1"/>
  <c r="I42" i="24"/>
  <c r="I13" i="24" s="1"/>
  <c r="I36" i="24"/>
  <c r="I7" i="24" s="1"/>
  <c r="I1" i="24" s="1"/>
  <c r="L53" i="24" l="1"/>
  <c r="J44" i="24" l="1"/>
  <c r="J15" i="24" s="1"/>
  <c r="J45" i="24"/>
  <c r="J16" i="24" s="1"/>
  <c r="J46" i="24"/>
  <c r="J17" i="24" s="1"/>
  <c r="J47" i="24"/>
  <c r="J18" i="24" s="1"/>
  <c r="J48" i="24"/>
  <c r="J19" i="24" s="1"/>
  <c r="J49" i="24"/>
  <c r="J20" i="24" s="1"/>
  <c r="J50" i="24"/>
  <c r="J21" i="24" s="1"/>
  <c r="J43" i="24"/>
  <c r="J14" i="24" s="1"/>
  <c r="J38" i="24"/>
  <c r="J9" i="24" s="1"/>
  <c r="J39" i="24"/>
  <c r="J10" i="24" s="1"/>
  <c r="J40" i="24"/>
  <c r="J11" i="24" s="1"/>
  <c r="J41" i="24"/>
  <c r="J12" i="24" s="1"/>
  <c r="J42" i="24"/>
  <c r="J13" i="24" s="1"/>
  <c r="J52" i="24"/>
  <c r="J54" i="24" s="1"/>
  <c r="E23" i="24"/>
  <c r="E30" i="24" s="1"/>
  <c r="D79" i="9"/>
  <c r="D75" i="9"/>
  <c r="C75" i="9"/>
  <c r="D35" i="24"/>
  <c r="F70" i="24" l="1"/>
  <c r="F72" i="24" s="1"/>
  <c r="E81" i="24"/>
  <c r="E66" i="24"/>
  <c r="E61" i="24"/>
  <c r="E52" i="24"/>
  <c r="E54" i="24" s="1"/>
  <c r="I44" i="24"/>
  <c r="I15" i="24" s="1"/>
  <c r="I38" i="24"/>
  <c r="I9" i="24" s="1"/>
  <c r="I37" i="24"/>
  <c r="I8" i="24" s="1"/>
  <c r="I56" i="24"/>
  <c r="H36" i="24"/>
  <c r="H7" i="24" s="1"/>
  <c r="G10" i="24"/>
  <c r="G11" i="24"/>
  <c r="G12" i="24"/>
  <c r="G7" i="24"/>
  <c r="G1" i="24" s="1"/>
  <c r="F38" i="24"/>
  <c r="F9" i="24" s="1"/>
  <c r="F39" i="24"/>
  <c r="F40" i="24"/>
  <c r="F11" i="24" s="1"/>
  <c r="F41" i="24"/>
  <c r="F12" i="24" s="1"/>
  <c r="F42" i="24"/>
  <c r="F13" i="24" s="1"/>
  <c r="F43" i="24"/>
  <c r="F14" i="24" s="1"/>
  <c r="F44" i="24"/>
  <c r="F15" i="24" s="1"/>
  <c r="F45" i="24"/>
  <c r="F46" i="24"/>
  <c r="F17" i="24" s="1"/>
  <c r="F47" i="24"/>
  <c r="F18" i="24" s="1"/>
  <c r="F37" i="24"/>
  <c r="F8" i="24" s="1"/>
  <c r="H22" i="24"/>
  <c r="H21" i="24"/>
  <c r="H20" i="24"/>
  <c r="H19" i="24"/>
  <c r="H18" i="24"/>
  <c r="H17" i="24"/>
  <c r="H16" i="24"/>
  <c r="H15" i="24"/>
  <c r="H14" i="24"/>
  <c r="H13" i="24"/>
  <c r="H12" i="24"/>
  <c r="H11" i="24"/>
  <c r="H10" i="24"/>
  <c r="H9" i="24"/>
  <c r="H8" i="24"/>
  <c r="H6" i="24"/>
  <c r="H5" i="24"/>
  <c r="G22" i="24"/>
  <c r="G21" i="24"/>
  <c r="G20" i="24"/>
  <c r="G19" i="24"/>
  <c r="G18" i="24"/>
  <c r="G17" i="24"/>
  <c r="G16" i="24"/>
  <c r="G15" i="24"/>
  <c r="G14" i="24"/>
  <c r="G13" i="24"/>
  <c r="G9" i="24"/>
  <c r="G8" i="24"/>
  <c r="G6" i="24"/>
  <c r="G5" i="24"/>
  <c r="F6" i="24"/>
  <c r="F22" i="24"/>
  <c r="F21" i="24"/>
  <c r="F20" i="24"/>
  <c r="F19" i="24"/>
  <c r="F16" i="24"/>
  <c r="F10" i="24"/>
  <c r="F7" i="24"/>
  <c r="F5" i="24"/>
  <c r="C7" i="24"/>
  <c r="F60" i="24"/>
  <c r="F58" i="24"/>
  <c r="D58" i="24"/>
  <c r="F52" i="24" l="1"/>
  <c r="F54" i="24" s="1"/>
  <c r="E83" i="24"/>
  <c r="E87" i="24"/>
  <c r="G23" i="24"/>
  <c r="G30" i="24" s="1"/>
  <c r="H23" i="24"/>
  <c r="H30" i="24" s="1"/>
  <c r="I52" i="24"/>
  <c r="I54" i="24" s="1"/>
  <c r="H52" i="24"/>
  <c r="H54" i="24" s="1"/>
  <c r="F23" i="24"/>
  <c r="F30" i="24" s="1"/>
  <c r="I23" i="24"/>
  <c r="I30" i="24" s="1"/>
  <c r="G52" i="24"/>
  <c r="G54" i="24" s="1"/>
  <c r="J23" i="24"/>
  <c r="J30" i="24" s="1"/>
  <c r="L60" i="24"/>
  <c r="L58" i="24"/>
  <c r="L63" i="24" s="1"/>
  <c r="L65" i="24" l="1"/>
  <c r="L67" i="24" s="1"/>
  <c r="N55" i="24"/>
  <c r="C12" i="36"/>
  <c r="D33" i="23"/>
  <c r="AA28" i="36" l="1"/>
  <c r="AA29" i="36"/>
  <c r="AA24" i="36"/>
  <c r="AA30" i="36"/>
  <c r="AA31" i="36"/>
  <c r="AA32" i="36"/>
  <c r="AA19" i="36"/>
  <c r="AA21" i="36"/>
  <c r="AA33" i="36"/>
  <c r="AA34" i="36"/>
  <c r="AA22" i="36"/>
  <c r="AA23" i="36"/>
  <c r="AA20" i="36"/>
  <c r="AA27" i="36"/>
  <c r="AA25" i="36"/>
  <c r="AA18" i="36"/>
  <c r="AA17" i="36"/>
  <c r="AA26" i="36"/>
  <c r="U26" i="36"/>
  <c r="Y27" i="36"/>
  <c r="W21" i="36"/>
  <c r="W33" i="36"/>
  <c r="U27" i="36"/>
  <c r="S21" i="36"/>
  <c r="S33" i="36"/>
  <c r="Q27" i="36"/>
  <c r="G24" i="36"/>
  <c r="Q19" i="36"/>
  <c r="E27" i="36"/>
  <c r="C21" i="36"/>
  <c r="C33" i="36"/>
  <c r="Y30" i="36"/>
  <c r="U30" i="36"/>
  <c r="Q30" i="36"/>
  <c r="G18" i="36"/>
  <c r="C19" i="36"/>
  <c r="Y31" i="36"/>
  <c r="U31" i="36"/>
  <c r="Q31" i="36"/>
  <c r="G19" i="36"/>
  <c r="C18" i="36"/>
  <c r="W17" i="36"/>
  <c r="S17" i="36"/>
  <c r="G23" i="36"/>
  <c r="Y28" i="36"/>
  <c r="W22" i="36"/>
  <c r="W34" i="36"/>
  <c r="U28" i="36"/>
  <c r="S22" i="36"/>
  <c r="S34" i="36"/>
  <c r="Q28" i="36"/>
  <c r="G25" i="36"/>
  <c r="Q17" i="36"/>
  <c r="E28" i="36"/>
  <c r="C22" i="36"/>
  <c r="C34" i="36"/>
  <c r="W24" i="36"/>
  <c r="S18" i="36"/>
  <c r="C24" i="36"/>
  <c r="W19" i="36"/>
  <c r="S25" i="36"/>
  <c r="G28" i="36"/>
  <c r="E31" i="36"/>
  <c r="W26" i="36"/>
  <c r="S26" i="36"/>
  <c r="G29" i="36"/>
  <c r="E32" i="36"/>
  <c r="C17" i="36"/>
  <c r="Y26" i="36"/>
  <c r="Q18" i="36"/>
  <c r="Y29" i="36"/>
  <c r="W23" i="36"/>
  <c r="W20" i="36"/>
  <c r="U29" i="36"/>
  <c r="S23" i="36"/>
  <c r="S20" i="36"/>
  <c r="Q29" i="36"/>
  <c r="G26" i="36"/>
  <c r="G20" i="36"/>
  <c r="E29" i="36"/>
  <c r="C23" i="36"/>
  <c r="C20" i="36"/>
  <c r="W18" i="36"/>
  <c r="S24" i="36"/>
  <c r="G27" i="36"/>
  <c r="E30" i="36"/>
  <c r="W25" i="36"/>
  <c r="S19" i="36"/>
  <c r="C25" i="36"/>
  <c r="Y32" i="36"/>
  <c r="U32" i="36"/>
  <c r="Q32" i="36"/>
  <c r="G17" i="36"/>
  <c r="C26" i="36"/>
  <c r="S32" i="36"/>
  <c r="E17" i="36"/>
  <c r="Y21" i="36"/>
  <c r="Y33" i="36"/>
  <c r="W27" i="36"/>
  <c r="U21" i="36"/>
  <c r="U33" i="36"/>
  <c r="S27" i="36"/>
  <c r="Q21" i="36"/>
  <c r="Q33" i="36"/>
  <c r="G30" i="36"/>
  <c r="E21" i="36"/>
  <c r="E33" i="36"/>
  <c r="C27" i="36"/>
  <c r="Y20" i="36"/>
  <c r="U23" i="36"/>
  <c r="S29" i="36"/>
  <c r="Q20" i="36"/>
  <c r="E23" i="36"/>
  <c r="Y24" i="36"/>
  <c r="W30" i="36"/>
  <c r="U24" i="36"/>
  <c r="S30" i="36"/>
  <c r="Q24" i="36"/>
  <c r="G21" i="36"/>
  <c r="G33" i="36"/>
  <c r="E24" i="36"/>
  <c r="C30" i="36"/>
  <c r="Y25" i="36"/>
  <c r="W31" i="36"/>
  <c r="G34" i="36"/>
  <c r="E19" i="36"/>
  <c r="W32" i="36"/>
  <c r="U17" i="36"/>
  <c r="E26" i="36"/>
  <c r="Y22" i="36"/>
  <c r="Y34" i="36"/>
  <c r="W28" i="36"/>
  <c r="U22" i="36"/>
  <c r="U34" i="36"/>
  <c r="S28" i="36"/>
  <c r="Q22" i="36"/>
  <c r="Q34" i="36"/>
  <c r="G31" i="36"/>
  <c r="E22" i="36"/>
  <c r="E34" i="36"/>
  <c r="C28" i="36"/>
  <c r="Y23" i="36"/>
  <c r="W29" i="36"/>
  <c r="U20" i="36"/>
  <c r="Q23" i="36"/>
  <c r="G32" i="36"/>
  <c r="E20" i="36"/>
  <c r="C29" i="36"/>
  <c r="Y18" i="36"/>
  <c r="U18" i="36"/>
  <c r="E18" i="36"/>
  <c r="Y19" i="36"/>
  <c r="U25" i="36"/>
  <c r="U19" i="36"/>
  <c r="S31" i="36"/>
  <c r="Q25" i="36"/>
  <c r="G22" i="36"/>
  <c r="E25" i="36"/>
  <c r="C31" i="36"/>
  <c r="Y17" i="36"/>
  <c r="Q26" i="36"/>
  <c r="C32" i="36"/>
  <c r="H34" i="36"/>
  <c r="H33" i="36"/>
  <c r="H32" i="36"/>
  <c r="H31" i="36"/>
  <c r="H30" i="36"/>
  <c r="H29" i="36"/>
  <c r="H28" i="36"/>
  <c r="H27" i="36"/>
  <c r="H26" i="36"/>
  <c r="H25" i="36"/>
  <c r="H24" i="36"/>
  <c r="H23" i="36"/>
  <c r="H22" i="36"/>
  <c r="H21" i="36"/>
  <c r="H20" i="36"/>
  <c r="H19" i="36"/>
  <c r="H18" i="36"/>
  <c r="H17" i="36"/>
  <c r="N34" i="36"/>
  <c r="N33" i="36"/>
  <c r="N32" i="36"/>
  <c r="N31" i="36"/>
  <c r="N30" i="36"/>
  <c r="N29" i="36"/>
  <c r="N28" i="36"/>
  <c r="N27" i="36"/>
  <c r="N26" i="36"/>
  <c r="N25" i="36"/>
  <c r="N24" i="36"/>
  <c r="N23" i="36"/>
  <c r="N22" i="36"/>
  <c r="N21" i="36"/>
  <c r="N20" i="36"/>
  <c r="N19" i="36"/>
  <c r="N18" i="36"/>
  <c r="N17" i="36"/>
  <c r="AA35" i="36" l="1"/>
  <c r="Q35" i="36"/>
  <c r="S35" i="36"/>
  <c r="U35" i="36"/>
  <c r="W35" i="36"/>
  <c r="Y35" i="36"/>
  <c r="H35" i="36"/>
  <c r="N35" i="36"/>
  <c r="C35" i="36" l="1"/>
  <c r="G35" i="36"/>
  <c r="E35" i="36"/>
  <c r="E32" i="23" l="1"/>
  <c r="E31" i="23"/>
  <c r="E30" i="23"/>
  <c r="E29" i="23"/>
  <c r="E28" i="23"/>
  <c r="E27" i="23"/>
  <c r="E26" i="23"/>
  <c r="E25" i="23"/>
  <c r="E24" i="23"/>
  <c r="E23" i="23"/>
  <c r="E22" i="23"/>
  <c r="E21" i="23"/>
  <c r="E20" i="23"/>
  <c r="E19" i="23"/>
  <c r="E17" i="23"/>
  <c r="E16" i="23"/>
  <c r="E15" i="23"/>
  <c r="E33" i="23" l="1"/>
  <c r="J32" i="23"/>
  <c r="J31" i="23"/>
  <c r="J30" i="23"/>
  <c r="J29" i="23"/>
  <c r="J28" i="23"/>
  <c r="J27" i="23"/>
  <c r="J26" i="23"/>
  <c r="J25" i="23"/>
  <c r="J24" i="23"/>
  <c r="J23" i="23"/>
  <c r="J22" i="23"/>
  <c r="J21" i="23"/>
  <c r="J20" i="23"/>
  <c r="J19" i="23"/>
  <c r="J18" i="23"/>
  <c r="J17" i="23"/>
  <c r="J16" i="23"/>
  <c r="J15" i="23"/>
  <c r="J33" i="23" l="1"/>
  <c r="BF5" i="24"/>
  <c r="AN5" i="25" s="1"/>
  <c r="BF6" i="24"/>
  <c r="AN6" i="25" s="1"/>
  <c r="BF7" i="24"/>
  <c r="AN7" i="25" s="1"/>
  <c r="BF8" i="24"/>
  <c r="AN8" i="25" s="1"/>
  <c r="BF9" i="24"/>
  <c r="AN9" i="25" s="1"/>
  <c r="BF10" i="24"/>
  <c r="AN10" i="25" s="1"/>
  <c r="BF11" i="24"/>
  <c r="AN11" i="25" s="1"/>
  <c r="BF12" i="24"/>
  <c r="AN12" i="25" s="1"/>
  <c r="BF13" i="24"/>
  <c r="AN13" i="25" s="1"/>
  <c r="BF14" i="24"/>
  <c r="AN14" i="25" s="1"/>
  <c r="BF15" i="24"/>
  <c r="AN15" i="25" s="1"/>
  <c r="BF16" i="24"/>
  <c r="AN16" i="25" s="1"/>
  <c r="BF17" i="24"/>
  <c r="AN17" i="25" s="1"/>
  <c r="BF18" i="24"/>
  <c r="AN18" i="25" s="1"/>
  <c r="BF19" i="24"/>
  <c r="AN19" i="25" s="1"/>
  <c r="BF20" i="24"/>
  <c r="AN20" i="25" s="1"/>
  <c r="BF21" i="24"/>
  <c r="AN21" i="25" s="1"/>
  <c r="BF22" i="24"/>
  <c r="AN22" i="25" s="1"/>
  <c r="BF23" i="24"/>
  <c r="AN23" i="25" s="1"/>
  <c r="BF24" i="24"/>
  <c r="AN24" i="25" s="1"/>
  <c r="BF25" i="24"/>
  <c r="AN25" i="25" s="1"/>
  <c r="BF26" i="24"/>
  <c r="AN26" i="25" s="1"/>
  <c r="BF27" i="24"/>
  <c r="AN27" i="25" s="1"/>
  <c r="BF28" i="24"/>
  <c r="AN28" i="25" s="1"/>
  <c r="BF29" i="24"/>
  <c r="AN29" i="25" s="1"/>
  <c r="BF30" i="24"/>
  <c r="AN30" i="25" s="1"/>
  <c r="BF31" i="24"/>
  <c r="AN31" i="25" s="1"/>
  <c r="BF32" i="24"/>
  <c r="AN32" i="25" s="1"/>
  <c r="BF33" i="24"/>
  <c r="AN33" i="25" s="1"/>
  <c r="BF34" i="24"/>
  <c r="AN34" i="25" s="1"/>
  <c r="BF35" i="24"/>
  <c r="AN35" i="25" s="1"/>
  <c r="BF36" i="24"/>
  <c r="AN36" i="25" s="1"/>
  <c r="BF37" i="24"/>
  <c r="AN37" i="25" s="1"/>
  <c r="BF38" i="24"/>
  <c r="AN38" i="25" s="1"/>
  <c r="BF39" i="24"/>
  <c r="AN39" i="25" s="1"/>
  <c r="BF40" i="24"/>
  <c r="AN40" i="25" s="1"/>
  <c r="BF41" i="24"/>
  <c r="AN41" i="25" s="1"/>
  <c r="BF42" i="24"/>
  <c r="AN42" i="25" s="1"/>
  <c r="BF43" i="24"/>
  <c r="AN43" i="25" s="1"/>
  <c r="BF44" i="24"/>
  <c r="AN44" i="25" s="1"/>
  <c r="BF45" i="24"/>
  <c r="AN45" i="25" s="1"/>
  <c r="BF46" i="24"/>
  <c r="AN46" i="25" s="1"/>
  <c r="BF47" i="24"/>
  <c r="AN47" i="25" s="1"/>
  <c r="BF48" i="24"/>
  <c r="AN48" i="25" s="1"/>
  <c r="BF49" i="24"/>
  <c r="AN49" i="25" s="1"/>
  <c r="BF50" i="24"/>
  <c r="AN50" i="25" s="1"/>
  <c r="BF51" i="24"/>
  <c r="AN51" i="25" s="1"/>
  <c r="BF52" i="24"/>
  <c r="AN52" i="25" s="1"/>
  <c r="BF53" i="24"/>
  <c r="AN53" i="25" s="1"/>
  <c r="BF54" i="24"/>
  <c r="AN54" i="25" s="1"/>
  <c r="BF55" i="24"/>
  <c r="AN55" i="25" s="1"/>
  <c r="BF56" i="24"/>
  <c r="AN56" i="25" s="1"/>
  <c r="BF57" i="24"/>
  <c r="AN57" i="25" s="1"/>
  <c r="BF58" i="24"/>
  <c r="AN58" i="25" s="1"/>
  <c r="BF59" i="24"/>
  <c r="AN59" i="25" s="1"/>
  <c r="BF60" i="24"/>
  <c r="AN60" i="25" s="1"/>
  <c r="BF61" i="24"/>
  <c r="AN61" i="25" s="1"/>
  <c r="BF62" i="24"/>
  <c r="AN62" i="25" s="1"/>
  <c r="BF63" i="24"/>
  <c r="AN63" i="25" s="1"/>
  <c r="BF64" i="24"/>
  <c r="AN64" i="25" s="1"/>
  <c r="BF65" i="24"/>
  <c r="AN65" i="25" s="1"/>
  <c r="BF66" i="24"/>
  <c r="AN66" i="25" s="1"/>
  <c r="BF67" i="24"/>
  <c r="AN67" i="25" s="1"/>
  <c r="BF68" i="24"/>
  <c r="AN68" i="25" s="1"/>
  <c r="BF69" i="24"/>
  <c r="AN69" i="25" s="1"/>
  <c r="BF70" i="24"/>
  <c r="AN70" i="25" s="1"/>
  <c r="BF71" i="24"/>
  <c r="AN71" i="25" s="1"/>
  <c r="BF72" i="24"/>
  <c r="AN72" i="25" s="1"/>
  <c r="BF73" i="24"/>
  <c r="AN73" i="25" s="1"/>
  <c r="BF74" i="24"/>
  <c r="AN74" i="25" s="1"/>
  <c r="BF75" i="24"/>
  <c r="AN75" i="25" s="1"/>
  <c r="BF76" i="24"/>
  <c r="AN76" i="25" s="1"/>
  <c r="BF77" i="24"/>
  <c r="AN77" i="25" s="1"/>
  <c r="BF78" i="24"/>
  <c r="AN78" i="25" s="1"/>
  <c r="BF79" i="24"/>
  <c r="AN79" i="25" s="1"/>
  <c r="BF80" i="24"/>
  <c r="AN80" i="25" s="1"/>
  <c r="BF81" i="24"/>
  <c r="AN81" i="25" s="1"/>
  <c r="BF82" i="24"/>
  <c r="AN82" i="25" s="1"/>
  <c r="BF83" i="24"/>
  <c r="AN83" i="25" s="1"/>
  <c r="BF84" i="24"/>
  <c r="AN84" i="25" s="1"/>
  <c r="BF85" i="24"/>
  <c r="AN85" i="25" s="1"/>
  <c r="BF86" i="24"/>
  <c r="AN86" i="25" s="1"/>
  <c r="BF87" i="24"/>
  <c r="AN87" i="25" s="1"/>
  <c r="BF88" i="24"/>
  <c r="AN88" i="25" s="1"/>
  <c r="BF89" i="24"/>
  <c r="AN89" i="25" s="1"/>
  <c r="BF90" i="24"/>
  <c r="AN90" i="25" s="1"/>
  <c r="BF91" i="24"/>
  <c r="AN91" i="25" s="1"/>
  <c r="BF92" i="24"/>
  <c r="AN92" i="25" s="1"/>
  <c r="BF93" i="24"/>
  <c r="AN93" i="25" s="1"/>
  <c r="BF94" i="24"/>
  <c r="AN94" i="25" s="1"/>
  <c r="BF95" i="24"/>
  <c r="AN95" i="25" s="1"/>
  <c r="BF96" i="24"/>
  <c r="AN96" i="25" s="1"/>
  <c r="BF97" i="24"/>
  <c r="AN97" i="25" s="1"/>
  <c r="BF98" i="24"/>
  <c r="AN98" i="25" s="1"/>
  <c r="BF99" i="24"/>
  <c r="AN99" i="25" s="1"/>
  <c r="BF100" i="24"/>
  <c r="AN100" i="25" s="1"/>
  <c r="BF101" i="24"/>
  <c r="AN101" i="25" s="1"/>
  <c r="BF102" i="24"/>
  <c r="AN102" i="25" s="1"/>
  <c r="BF103" i="24"/>
  <c r="AN103" i="25" s="1"/>
  <c r="BF104" i="24"/>
  <c r="AN104" i="25" s="1"/>
  <c r="BF105" i="24"/>
  <c r="AN105" i="25" s="1"/>
  <c r="BF106" i="24"/>
  <c r="AN106" i="25" s="1"/>
  <c r="BF107" i="24"/>
  <c r="AN107" i="25" s="1"/>
  <c r="BF108" i="24"/>
  <c r="AN108" i="25" s="1"/>
  <c r="BF109" i="24"/>
  <c r="AN109" i="25" s="1"/>
  <c r="BF110" i="24"/>
  <c r="AN110" i="25" s="1"/>
  <c r="BF111" i="24"/>
  <c r="AN111" i="25" s="1"/>
  <c r="BF112" i="24"/>
  <c r="AN112" i="25" s="1"/>
  <c r="BF113" i="24"/>
  <c r="AN113" i="25" s="1"/>
  <c r="BF114" i="24"/>
  <c r="AN114" i="25" s="1"/>
  <c r="BF115" i="24"/>
  <c r="AN115" i="25" s="1"/>
  <c r="BF116" i="24"/>
  <c r="AN116" i="25" s="1"/>
  <c r="BF117" i="24"/>
  <c r="AN117" i="25" s="1"/>
  <c r="BF118" i="24"/>
  <c r="AN118" i="25" s="1"/>
  <c r="BF119" i="24"/>
  <c r="AN119" i="25" s="1"/>
  <c r="BF120" i="24"/>
  <c r="AN120" i="25" s="1"/>
  <c r="BF121" i="24"/>
  <c r="AN121" i="25" s="1"/>
  <c r="BF122" i="24"/>
  <c r="AN122" i="25" s="1"/>
  <c r="BF123" i="24"/>
  <c r="AN123" i="25" s="1"/>
  <c r="BF124" i="24"/>
  <c r="AN124" i="25" s="1"/>
  <c r="BF125" i="24"/>
  <c r="AN125" i="25" s="1"/>
  <c r="BF126" i="24"/>
  <c r="AN126" i="25" s="1"/>
  <c r="BF127" i="24"/>
  <c r="AN127" i="25" s="1"/>
  <c r="BF128" i="24"/>
  <c r="AN128" i="25" s="1"/>
  <c r="BF129" i="24"/>
  <c r="AN129" i="25" s="1"/>
  <c r="BF130" i="24"/>
  <c r="AN130" i="25" s="1"/>
  <c r="BF131" i="24"/>
  <c r="AN131" i="25" s="1"/>
  <c r="BF132" i="24"/>
  <c r="AN132" i="25" s="1"/>
  <c r="BF133" i="24"/>
  <c r="AN133" i="25" s="1"/>
  <c r="BF134" i="24"/>
  <c r="AN134" i="25" s="1"/>
  <c r="BF135" i="24"/>
  <c r="AN135" i="25" s="1"/>
  <c r="BF136" i="24"/>
  <c r="AN136" i="25" s="1"/>
  <c r="BF4" i="24"/>
  <c r="AN4" i="25" s="1"/>
  <c r="A5" i="26"/>
  <c r="F5" i="26" s="1"/>
  <c r="A6" i="26"/>
  <c r="F6" i="26" s="1"/>
  <c r="A7" i="26"/>
  <c r="A8" i="26"/>
  <c r="I8" i="26" s="1"/>
  <c r="A9" i="26"/>
  <c r="I9" i="26" s="1"/>
  <c r="A10" i="26"/>
  <c r="I10" i="26" s="1"/>
  <c r="A11" i="26"/>
  <c r="I11" i="26" s="1"/>
  <c r="A12" i="26"/>
  <c r="D12" i="26" s="1"/>
  <c r="A13" i="26"/>
  <c r="A14" i="26"/>
  <c r="F14" i="26" s="1"/>
  <c r="A15" i="26"/>
  <c r="F15" i="26" s="1"/>
  <c r="A16" i="26"/>
  <c r="F16" i="26" s="1"/>
  <c r="A17" i="26"/>
  <c r="F17" i="26" s="1"/>
  <c r="A18" i="26"/>
  <c r="F18" i="26" s="1"/>
  <c r="A19" i="26"/>
  <c r="J19" i="26" s="1"/>
  <c r="A20" i="26"/>
  <c r="I20" i="26" s="1"/>
  <c r="A21" i="26"/>
  <c r="I21" i="26" s="1"/>
  <c r="A22" i="26"/>
  <c r="F22" i="26" s="1"/>
  <c r="A23" i="26"/>
  <c r="F23" i="26" s="1"/>
  <c r="A24" i="26"/>
  <c r="N24" i="26" s="1"/>
  <c r="A25" i="26"/>
  <c r="A26" i="26"/>
  <c r="D26" i="26" s="1"/>
  <c r="A27" i="26"/>
  <c r="F27" i="26" s="1"/>
  <c r="A28" i="26"/>
  <c r="F28" i="26" s="1"/>
  <c r="A29" i="26"/>
  <c r="F29" i="26" s="1"/>
  <c r="A30" i="26"/>
  <c r="F30" i="26" s="1"/>
  <c r="A31" i="26"/>
  <c r="B31" i="26" s="1"/>
  <c r="A32" i="26"/>
  <c r="G32" i="26" s="1"/>
  <c r="A33" i="26"/>
  <c r="G33" i="26" s="1"/>
  <c r="A34" i="26"/>
  <c r="J34" i="26" s="1"/>
  <c r="A35" i="26"/>
  <c r="H35" i="26" s="1"/>
  <c r="A36" i="26"/>
  <c r="A37" i="26"/>
  <c r="A38" i="26"/>
  <c r="A39" i="26"/>
  <c r="E39" i="26" s="1"/>
  <c r="A40" i="26"/>
  <c r="E40" i="26" s="1"/>
  <c r="A41" i="26"/>
  <c r="E41" i="26" s="1"/>
  <c r="A42" i="26"/>
  <c r="E42" i="26" s="1"/>
  <c r="A43" i="26"/>
  <c r="B43" i="26" s="1"/>
  <c r="A44" i="26"/>
  <c r="K44" i="26" s="1"/>
  <c r="A45" i="26"/>
  <c r="K45" i="26" s="1"/>
  <c r="A46" i="26"/>
  <c r="A47" i="26"/>
  <c r="A48" i="26"/>
  <c r="A49" i="26"/>
  <c r="A50" i="26"/>
  <c r="G50" i="26" s="1"/>
  <c r="A51" i="26"/>
  <c r="G51" i="26" s="1"/>
  <c r="A52" i="26"/>
  <c r="G52" i="26" s="1"/>
  <c r="A53" i="26"/>
  <c r="G53" i="26" s="1"/>
  <c r="A54" i="26"/>
  <c r="E54" i="26" s="1"/>
  <c r="A55" i="26"/>
  <c r="E55" i="26" s="1"/>
  <c r="A56" i="26"/>
  <c r="K56" i="26" s="1"/>
  <c r="A57" i="26"/>
  <c r="K57" i="26" s="1"/>
  <c r="A58" i="26"/>
  <c r="G58" i="26" s="1"/>
  <c r="A59" i="26"/>
  <c r="B59" i="26" s="1"/>
  <c r="A60" i="26"/>
  <c r="A61" i="26"/>
  <c r="A62" i="26"/>
  <c r="G62" i="26" s="1"/>
  <c r="A63" i="26"/>
  <c r="E63" i="26" s="1"/>
  <c r="A64" i="26"/>
  <c r="E64" i="26" s="1"/>
  <c r="A65" i="26"/>
  <c r="M65" i="26" s="1"/>
  <c r="A66" i="26"/>
  <c r="E66" i="26" s="1"/>
  <c r="A67" i="26"/>
  <c r="E67" i="26" s="1"/>
  <c r="A68" i="26"/>
  <c r="J68" i="26" s="1"/>
  <c r="A69" i="26"/>
  <c r="J69" i="26" s="1"/>
  <c r="A70" i="26"/>
  <c r="J70" i="26" s="1"/>
  <c r="A71" i="26"/>
  <c r="J71" i="26" s="1"/>
  <c r="A72" i="26"/>
  <c r="H72" i="26" s="1"/>
  <c r="A73" i="26"/>
  <c r="A74" i="26"/>
  <c r="D74" i="26" s="1"/>
  <c r="A75" i="26"/>
  <c r="F75" i="26" s="1"/>
  <c r="A76" i="26"/>
  <c r="F76" i="26" s="1"/>
  <c r="A77" i="26"/>
  <c r="F77" i="26" s="1"/>
  <c r="A78" i="26"/>
  <c r="F78" i="26" s="1"/>
  <c r="A79" i="26"/>
  <c r="F79" i="26" s="1"/>
  <c r="A80" i="26"/>
  <c r="F80" i="26" s="1"/>
  <c r="A81" i="26"/>
  <c r="G81" i="26" s="1"/>
  <c r="A82" i="26"/>
  <c r="O82" i="26" s="1"/>
  <c r="A83" i="26"/>
  <c r="F83" i="26" s="1"/>
  <c r="A84" i="26"/>
  <c r="E84" i="26" s="1"/>
  <c r="A85" i="26"/>
  <c r="A86" i="26"/>
  <c r="A87" i="26"/>
  <c r="F87" i="26" s="1"/>
  <c r="A88" i="26"/>
  <c r="F88" i="26" s="1"/>
  <c r="A89" i="26"/>
  <c r="F89" i="26" s="1"/>
  <c r="A90" i="26"/>
  <c r="F90" i="26" s="1"/>
  <c r="A91" i="26"/>
  <c r="F91" i="26" s="1"/>
  <c r="A92" i="26"/>
  <c r="F92" i="26" s="1"/>
  <c r="A93" i="26"/>
  <c r="I93" i="26" s="1"/>
  <c r="A94" i="26"/>
  <c r="E94" i="26" s="1"/>
  <c r="A95" i="26"/>
  <c r="F95" i="26" s="1"/>
  <c r="A96" i="26"/>
  <c r="E96" i="26" s="1"/>
  <c r="A97" i="26"/>
  <c r="F97" i="26" s="1"/>
  <c r="A98" i="26"/>
  <c r="G98" i="26" s="1"/>
  <c r="A99" i="26"/>
  <c r="E99" i="26" s="1"/>
  <c r="A100" i="26"/>
  <c r="E100" i="26" s="1"/>
  <c r="A101" i="26"/>
  <c r="E101" i="26" s="1"/>
  <c r="A102" i="26"/>
  <c r="E102" i="26" s="1"/>
  <c r="A103" i="26"/>
  <c r="E103" i="26" s="1"/>
  <c r="A104" i="26"/>
  <c r="K104" i="26" s="1"/>
  <c r="A105" i="26"/>
  <c r="K105" i="26" s="1"/>
  <c r="A106" i="26"/>
  <c r="J106" i="26" s="1"/>
  <c r="A107" i="26"/>
  <c r="J107" i="26" s="1"/>
  <c r="A108" i="26"/>
  <c r="A109" i="26"/>
  <c r="A110" i="26"/>
  <c r="D110" i="26" s="1"/>
  <c r="A111" i="26"/>
  <c r="D111" i="26" s="1"/>
  <c r="A112" i="26"/>
  <c r="F112" i="26" s="1"/>
  <c r="A113" i="26"/>
  <c r="G113" i="26" s="1"/>
  <c r="A114" i="26"/>
  <c r="G114" i="26" s="1"/>
  <c r="A115" i="26"/>
  <c r="G115" i="26" s="1"/>
  <c r="A116" i="26"/>
  <c r="G116" i="26" s="1"/>
  <c r="A117" i="26"/>
  <c r="J117" i="26" s="1"/>
  <c r="A118" i="26"/>
  <c r="K118" i="26" s="1"/>
  <c r="A119" i="26"/>
  <c r="C119" i="26" s="1"/>
  <c r="A120" i="26"/>
  <c r="A121" i="26"/>
  <c r="A122" i="26"/>
  <c r="F122" i="26" s="1"/>
  <c r="A123" i="26"/>
  <c r="H123" i="26" s="1"/>
  <c r="A124" i="26"/>
  <c r="H124" i="26" s="1"/>
  <c r="A125" i="26"/>
  <c r="H125" i="26" s="1"/>
  <c r="A126" i="26"/>
  <c r="E126" i="26" s="1"/>
  <c r="A127" i="26"/>
  <c r="M127" i="26" s="1"/>
  <c r="A128" i="26"/>
  <c r="M128" i="26" s="1"/>
  <c r="A129" i="26"/>
  <c r="H129" i="26" s="1"/>
  <c r="A130" i="26"/>
  <c r="H130" i="26" s="1"/>
  <c r="A131" i="26"/>
  <c r="I131" i="26" s="1"/>
  <c r="A132" i="26"/>
  <c r="I132" i="26" s="1"/>
  <c r="A133" i="26"/>
  <c r="C133" i="26" s="1"/>
  <c r="A134" i="26"/>
  <c r="A135" i="26"/>
  <c r="H135" i="26" s="1"/>
  <c r="A136" i="26"/>
  <c r="H136" i="26" s="1"/>
  <c r="A4" i="26"/>
  <c r="H4" i="26" s="1"/>
  <c r="U5" i="25"/>
  <c r="U6" i="25"/>
  <c r="U7" i="25"/>
  <c r="U8" i="25"/>
  <c r="U9" i="25"/>
  <c r="U10" i="25"/>
  <c r="U11" i="25"/>
  <c r="U12" i="25"/>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63" i="25"/>
  <c r="U64" i="25"/>
  <c r="U65" i="25"/>
  <c r="U66" i="25"/>
  <c r="U67" i="25"/>
  <c r="U68" i="25"/>
  <c r="U69" i="25"/>
  <c r="U70" i="25"/>
  <c r="U71" i="25"/>
  <c r="U72" i="25"/>
  <c r="U73" i="25"/>
  <c r="U74" i="25"/>
  <c r="U75" i="25"/>
  <c r="U76" i="25"/>
  <c r="U77" i="25"/>
  <c r="U78" i="25"/>
  <c r="U79" i="25"/>
  <c r="U80" i="25"/>
  <c r="U81" i="25"/>
  <c r="U82" i="25"/>
  <c r="U83" i="25"/>
  <c r="U84" i="25"/>
  <c r="U85" i="25"/>
  <c r="U86" i="25"/>
  <c r="U87" i="25"/>
  <c r="U88" i="25"/>
  <c r="U89" i="25"/>
  <c r="U90" i="25"/>
  <c r="U91" i="25"/>
  <c r="U92" i="25"/>
  <c r="U93" i="25"/>
  <c r="U94" i="25"/>
  <c r="U95" i="25"/>
  <c r="U96" i="25"/>
  <c r="U97" i="25"/>
  <c r="U98" i="25"/>
  <c r="U99" i="25"/>
  <c r="U100" i="25"/>
  <c r="U101" i="25"/>
  <c r="U102" i="25"/>
  <c r="U103" i="25"/>
  <c r="U104" i="25"/>
  <c r="U105" i="25"/>
  <c r="U106" i="25"/>
  <c r="U107" i="25"/>
  <c r="U108" i="25"/>
  <c r="U109" i="25"/>
  <c r="U110" i="25"/>
  <c r="U111" i="25"/>
  <c r="U112" i="25"/>
  <c r="U113" i="25"/>
  <c r="U114" i="25"/>
  <c r="U115" i="25"/>
  <c r="U116" i="25"/>
  <c r="U117" i="25"/>
  <c r="U118" i="25"/>
  <c r="U119" i="25"/>
  <c r="U120" i="25"/>
  <c r="U121" i="25"/>
  <c r="U122" i="25"/>
  <c r="U123" i="25"/>
  <c r="U124" i="25"/>
  <c r="U125" i="25"/>
  <c r="U126" i="25"/>
  <c r="U127" i="25"/>
  <c r="U128" i="25"/>
  <c r="U129" i="25"/>
  <c r="U130" i="25"/>
  <c r="U131" i="25"/>
  <c r="U132" i="25"/>
  <c r="U133" i="25"/>
  <c r="U134" i="25"/>
  <c r="U135" i="25"/>
  <c r="U136" i="25"/>
  <c r="U4"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5" i="25"/>
  <c r="A4" i="25"/>
  <c r="C51" i="24"/>
  <c r="L51" i="24" s="1"/>
  <c r="C50" i="24"/>
  <c r="L50" i="24" s="1"/>
  <c r="C49" i="24"/>
  <c r="L49" i="24" s="1"/>
  <c r="C48" i="24"/>
  <c r="L48" i="24" s="1"/>
  <c r="C47" i="24"/>
  <c r="L47" i="24" s="1"/>
  <c r="N46" i="24"/>
  <c r="C46" i="24"/>
  <c r="L46" i="24" s="1"/>
  <c r="C45" i="24"/>
  <c r="L45" i="24" s="1"/>
  <c r="N44" i="24"/>
  <c r="N51" i="24" s="1"/>
  <c r="D44" i="24"/>
  <c r="D15" i="24" s="1"/>
  <c r="C44" i="24"/>
  <c r="D43" i="24"/>
  <c r="D14" i="24" s="1"/>
  <c r="C43" i="24"/>
  <c r="N42" i="24"/>
  <c r="D42" i="24"/>
  <c r="D13" i="24" s="1"/>
  <c r="C42" i="24"/>
  <c r="L42" i="24" s="1"/>
  <c r="D41" i="24"/>
  <c r="D12" i="24" s="1"/>
  <c r="C41" i="24"/>
  <c r="N40" i="24"/>
  <c r="D40" i="24"/>
  <c r="L40" i="24" s="1"/>
  <c r="D39" i="24"/>
  <c r="D10" i="24" s="1"/>
  <c r="C39" i="24"/>
  <c r="L39" i="24" s="1"/>
  <c r="N38" i="24"/>
  <c r="C38" i="24"/>
  <c r="L38" i="24" s="1"/>
  <c r="C37" i="24"/>
  <c r="L37" i="24" s="1"/>
  <c r="L7" i="24"/>
  <c r="N35" i="24"/>
  <c r="C35" i="24"/>
  <c r="L35" i="24" s="1"/>
  <c r="C34" i="24"/>
  <c r="L34" i="24" s="1"/>
  <c r="D21" i="24"/>
  <c r="D20" i="24"/>
  <c r="D19" i="24"/>
  <c r="D18" i="24"/>
  <c r="D17" i="24"/>
  <c r="D16" i="24"/>
  <c r="D9" i="24"/>
  <c r="D8" i="24"/>
  <c r="D7" i="24"/>
  <c r="L43" i="24" l="1"/>
  <c r="L44" i="24"/>
  <c r="L41" i="24"/>
  <c r="V15" i="24"/>
  <c r="V17" i="24"/>
  <c r="V7" i="24"/>
  <c r="V20" i="24"/>
  <c r="V70" i="24"/>
  <c r="V83" i="24"/>
  <c r="V96" i="24"/>
  <c r="V122" i="24"/>
  <c r="V49" i="24"/>
  <c r="V4" i="24"/>
  <c r="V86" i="24"/>
  <c r="V133" i="24"/>
  <c r="V106" i="24"/>
  <c r="V73" i="24"/>
  <c r="V62" i="24"/>
  <c r="V129" i="24"/>
  <c r="V26" i="24"/>
  <c r="V21" i="24"/>
  <c r="V111" i="24"/>
  <c r="V114" i="24"/>
  <c r="V125" i="24"/>
  <c r="V97" i="24"/>
  <c r="V27" i="24"/>
  <c r="V6" i="24"/>
  <c r="V19" i="24"/>
  <c r="V32" i="24"/>
  <c r="V82" i="24"/>
  <c r="V95" i="24"/>
  <c r="V108" i="24"/>
  <c r="V13" i="24"/>
  <c r="V76" i="24"/>
  <c r="V33" i="24"/>
  <c r="V29" i="24"/>
  <c r="V119" i="24"/>
  <c r="V128" i="24"/>
  <c r="V85" i="24"/>
  <c r="V121" i="24"/>
  <c r="V103" i="24"/>
  <c r="V52" i="24"/>
  <c r="V69" i="24"/>
  <c r="V126" i="24"/>
  <c r="V109" i="24"/>
  <c r="V39" i="24"/>
  <c r="V18" i="24"/>
  <c r="V31" i="24"/>
  <c r="V44" i="24"/>
  <c r="V94" i="24"/>
  <c r="V107" i="24"/>
  <c r="V120" i="24"/>
  <c r="V41" i="24"/>
  <c r="V101" i="24"/>
  <c r="V89" i="24"/>
  <c r="V113" i="24"/>
  <c r="V64" i="24"/>
  <c r="V98" i="24"/>
  <c r="V38" i="24"/>
  <c r="V93" i="24"/>
  <c r="V50" i="24"/>
  <c r="V90" i="24"/>
  <c r="V74" i="24"/>
  <c r="V59" i="24"/>
  <c r="V136" i="24"/>
  <c r="V84" i="24"/>
  <c r="V61" i="24"/>
  <c r="V51" i="24"/>
  <c r="V30" i="24"/>
  <c r="V43" i="24"/>
  <c r="V56" i="24"/>
  <c r="V132" i="24"/>
  <c r="V9" i="24"/>
  <c r="V77" i="24"/>
  <c r="V105" i="24"/>
  <c r="V72" i="24"/>
  <c r="V53" i="24"/>
  <c r="V8" i="24"/>
  <c r="V63" i="24"/>
  <c r="V42" i="24"/>
  <c r="V55" i="24"/>
  <c r="V68" i="24"/>
  <c r="V118" i="24"/>
  <c r="V131" i="24"/>
  <c r="V28" i="24"/>
  <c r="V92" i="24"/>
  <c r="V48" i="24"/>
  <c r="V112" i="24"/>
  <c r="V46" i="24"/>
  <c r="V58" i="24"/>
  <c r="V75" i="24"/>
  <c r="V54" i="24"/>
  <c r="V67" i="24"/>
  <c r="V80" i="24"/>
  <c r="V130" i="24"/>
  <c r="V12" i="24"/>
  <c r="V88" i="24"/>
  <c r="V124" i="24"/>
  <c r="V117" i="24"/>
  <c r="V22" i="24"/>
  <c r="V25" i="24"/>
  <c r="V135" i="24"/>
  <c r="V16" i="24"/>
  <c r="V87" i="24"/>
  <c r="V66" i="24"/>
  <c r="V79" i="24"/>
  <c r="V104" i="24"/>
  <c r="V11" i="24"/>
  <c r="V24" i="24"/>
  <c r="V116" i="24"/>
  <c r="V14" i="24"/>
  <c r="V65" i="24"/>
  <c r="V35" i="24"/>
  <c r="V99" i="24"/>
  <c r="V78" i="24"/>
  <c r="V91" i="24"/>
  <c r="V10" i="24"/>
  <c r="V23" i="24"/>
  <c r="V36" i="24"/>
  <c r="V37" i="24"/>
  <c r="V45" i="24"/>
  <c r="V134" i="24"/>
  <c r="V57" i="24"/>
  <c r="V100" i="24"/>
  <c r="V127" i="24"/>
  <c r="V81" i="24"/>
  <c r="V71" i="24"/>
  <c r="V123" i="24"/>
  <c r="V102" i="24"/>
  <c r="V115" i="24"/>
  <c r="V34" i="24"/>
  <c r="V47" i="24"/>
  <c r="V60" i="24"/>
  <c r="V40" i="24"/>
  <c r="V5" i="24"/>
  <c r="V110" i="24"/>
  <c r="J58" i="24"/>
  <c r="D66" i="24"/>
  <c r="AO36" i="24"/>
  <c r="W36" i="25" s="1"/>
  <c r="N5" i="24"/>
  <c r="C52" i="24"/>
  <c r="C54" i="24" s="1"/>
  <c r="H60" i="24" s="1"/>
  <c r="D6" i="24"/>
  <c r="D52" i="24"/>
  <c r="L10" i="24"/>
  <c r="AR27" i="24" s="1"/>
  <c r="L22" i="24"/>
  <c r="BD78" i="24" s="1"/>
  <c r="BW78" i="24" s="1"/>
  <c r="BE78" i="25" s="1"/>
  <c r="L15" i="24"/>
  <c r="L8" i="24"/>
  <c r="D11" i="24"/>
  <c r="L11" i="24"/>
  <c r="AS41" i="24" s="1"/>
  <c r="C16" i="24"/>
  <c r="L16" i="24"/>
  <c r="L17" i="24"/>
  <c r="AY115" i="24" s="1"/>
  <c r="L12" i="24"/>
  <c r="C6" i="24"/>
  <c r="L18" i="24"/>
  <c r="AZ61" i="24" s="1"/>
  <c r="L13" i="24"/>
  <c r="AU85" i="24" s="1"/>
  <c r="L19" i="24"/>
  <c r="L21" i="24"/>
  <c r="BC79" i="24" s="1"/>
  <c r="C35" i="26"/>
  <c r="B127" i="26"/>
  <c r="E71" i="26"/>
  <c r="E58" i="26"/>
  <c r="G124" i="26"/>
  <c r="J118" i="26"/>
  <c r="E44" i="26"/>
  <c r="G101" i="26"/>
  <c r="J81" i="26"/>
  <c r="I15" i="23"/>
  <c r="K15" i="23" s="1"/>
  <c r="E31" i="26"/>
  <c r="J44" i="26"/>
  <c r="D84" i="26"/>
  <c r="E18" i="26"/>
  <c r="G39" i="26"/>
  <c r="K128" i="26"/>
  <c r="E5" i="26"/>
  <c r="G19" i="26"/>
  <c r="L125" i="26"/>
  <c r="F126" i="26"/>
  <c r="L11" i="26"/>
  <c r="F113" i="26"/>
  <c r="N54" i="26"/>
  <c r="F84" i="26"/>
  <c r="E113" i="26"/>
  <c r="F55" i="26"/>
  <c r="E97" i="26"/>
  <c r="F39" i="26"/>
  <c r="I94" i="26"/>
  <c r="I58" i="26"/>
  <c r="F70" i="26"/>
  <c r="K69" i="26"/>
  <c r="C38" i="26"/>
  <c r="P38" i="26"/>
  <c r="S38" i="26"/>
  <c r="L38" i="26"/>
  <c r="Q38" i="26"/>
  <c r="N38" i="26"/>
  <c r="O38" i="26"/>
  <c r="R38" i="26"/>
  <c r="H38" i="26"/>
  <c r="I38" i="26"/>
  <c r="J38" i="26"/>
  <c r="K38" i="26"/>
  <c r="D121" i="26"/>
  <c r="M121" i="26"/>
  <c r="R121" i="26"/>
  <c r="N121" i="26"/>
  <c r="P121" i="26"/>
  <c r="S121" i="26"/>
  <c r="Q121" i="26"/>
  <c r="J121" i="26"/>
  <c r="K121" i="26"/>
  <c r="L121" i="26"/>
  <c r="H121" i="26"/>
  <c r="O121" i="26"/>
  <c r="D109" i="26"/>
  <c r="M109" i="26"/>
  <c r="S109" i="26"/>
  <c r="J109" i="26"/>
  <c r="N109" i="26"/>
  <c r="D85" i="26"/>
  <c r="Q85" i="26"/>
  <c r="M85" i="26"/>
  <c r="R85" i="26"/>
  <c r="O85" i="26"/>
  <c r="S85" i="26"/>
  <c r="P85" i="26"/>
  <c r="N85" i="26"/>
  <c r="I85" i="26"/>
  <c r="J85" i="26"/>
  <c r="K85" i="26"/>
  <c r="G85" i="26"/>
  <c r="D73" i="26"/>
  <c r="Q73" i="26"/>
  <c r="M73" i="26"/>
  <c r="R73" i="26"/>
  <c r="O73" i="26"/>
  <c r="S73" i="26"/>
  <c r="P73" i="26"/>
  <c r="I73" i="26"/>
  <c r="J73" i="26"/>
  <c r="L73" i="26"/>
  <c r="K73" i="26"/>
  <c r="N73" i="26"/>
  <c r="G73" i="26"/>
  <c r="D61" i="26"/>
  <c r="Q61" i="26"/>
  <c r="M61" i="26"/>
  <c r="R61" i="26"/>
  <c r="O61" i="26"/>
  <c r="S61" i="26"/>
  <c r="P61" i="26"/>
  <c r="I61" i="26"/>
  <c r="J61" i="26"/>
  <c r="N61" i="26"/>
  <c r="K61" i="26"/>
  <c r="L61" i="26"/>
  <c r="G61" i="26"/>
  <c r="D49" i="26"/>
  <c r="Q49" i="26"/>
  <c r="M49" i="26"/>
  <c r="R49" i="26"/>
  <c r="O49" i="26"/>
  <c r="S49" i="26"/>
  <c r="P49" i="26"/>
  <c r="I49" i="26"/>
  <c r="J49" i="26"/>
  <c r="K49" i="26"/>
  <c r="G49" i="26"/>
  <c r="N49" i="26"/>
  <c r="D37" i="26"/>
  <c r="S37" i="26"/>
  <c r="L37" i="26"/>
  <c r="Q37" i="26"/>
  <c r="O37" i="26"/>
  <c r="R37" i="26"/>
  <c r="I37" i="26"/>
  <c r="P37" i="26"/>
  <c r="J37" i="26"/>
  <c r="K37" i="26"/>
  <c r="N37" i="26"/>
  <c r="F37" i="26"/>
  <c r="M37" i="26"/>
  <c r="D25" i="26"/>
  <c r="S25" i="26"/>
  <c r="L25" i="26"/>
  <c r="Q25" i="26"/>
  <c r="O25" i="26"/>
  <c r="R25" i="26"/>
  <c r="N25" i="26"/>
  <c r="P25" i="26"/>
  <c r="I25" i="26"/>
  <c r="J25" i="26"/>
  <c r="K25" i="26"/>
  <c r="M25" i="26"/>
  <c r="F25" i="26"/>
  <c r="D13" i="26"/>
  <c r="S13" i="26"/>
  <c r="L13" i="26"/>
  <c r="Q13" i="26"/>
  <c r="O13" i="26"/>
  <c r="R13" i="26"/>
  <c r="P13" i="26"/>
  <c r="M13" i="26"/>
  <c r="I13" i="26"/>
  <c r="J13" i="26"/>
  <c r="K13" i="26"/>
  <c r="F13" i="26"/>
  <c r="N13" i="26"/>
  <c r="B121" i="26"/>
  <c r="B55" i="26"/>
  <c r="C121" i="26"/>
  <c r="C25" i="26"/>
  <c r="E125" i="26"/>
  <c r="E112" i="26"/>
  <c r="E83" i="26"/>
  <c r="E70" i="26"/>
  <c r="E56" i="26"/>
  <c r="E43" i="26"/>
  <c r="E30" i="26"/>
  <c r="E17" i="26"/>
  <c r="E4" i="26"/>
  <c r="F125" i="26"/>
  <c r="F68" i="26"/>
  <c r="F54" i="26"/>
  <c r="F38" i="26"/>
  <c r="G123" i="26"/>
  <c r="G100" i="26"/>
  <c r="G80" i="26"/>
  <c r="G38" i="26"/>
  <c r="G16" i="26"/>
  <c r="H107" i="26"/>
  <c r="H71" i="26"/>
  <c r="H34" i="26"/>
  <c r="I57" i="26"/>
  <c r="J80" i="26"/>
  <c r="K119" i="26"/>
  <c r="K68" i="26"/>
  <c r="L124" i="26"/>
  <c r="L10" i="26"/>
  <c r="C134" i="26"/>
  <c r="M134" i="26"/>
  <c r="R134" i="26"/>
  <c r="P134" i="26"/>
  <c r="S134" i="26"/>
  <c r="J134" i="26"/>
  <c r="O134" i="26"/>
  <c r="K134" i="26"/>
  <c r="L134" i="26"/>
  <c r="G134" i="26"/>
  <c r="N134" i="26"/>
  <c r="C86" i="26"/>
  <c r="L86" i="26"/>
  <c r="Q86" i="26"/>
  <c r="M86" i="26"/>
  <c r="R86" i="26"/>
  <c r="O86" i="26"/>
  <c r="N86" i="26"/>
  <c r="I86" i="26"/>
  <c r="J86" i="26"/>
  <c r="K86" i="26"/>
  <c r="F86" i="26"/>
  <c r="P86" i="26"/>
  <c r="S86" i="26"/>
  <c r="F98" i="26"/>
  <c r="D133" i="26"/>
  <c r="M133" i="26"/>
  <c r="R133" i="26"/>
  <c r="N133" i="26"/>
  <c r="P133" i="26"/>
  <c r="S133" i="26"/>
  <c r="Q133" i="26"/>
  <c r="J133" i="26"/>
  <c r="O133" i="26"/>
  <c r="K133" i="26"/>
  <c r="L133" i="26"/>
  <c r="H133" i="26"/>
  <c r="D97" i="26"/>
  <c r="Q97" i="26"/>
  <c r="M97" i="26"/>
  <c r="R97" i="26"/>
  <c r="O97" i="26"/>
  <c r="S97" i="26"/>
  <c r="P97" i="26"/>
  <c r="I97" i="26"/>
  <c r="J97" i="26"/>
  <c r="K97" i="26"/>
  <c r="N97" i="26"/>
  <c r="L97" i="26"/>
  <c r="G97" i="26"/>
  <c r="R132" i="26"/>
  <c r="N132" i="26"/>
  <c r="P132" i="26"/>
  <c r="S132" i="26"/>
  <c r="Q132" i="26"/>
  <c r="O132" i="26"/>
  <c r="K132" i="26"/>
  <c r="E132" i="26"/>
  <c r="L132" i="26"/>
  <c r="M132" i="26"/>
  <c r="H132" i="26"/>
  <c r="R120" i="26"/>
  <c r="N120" i="26"/>
  <c r="P120" i="26"/>
  <c r="S120" i="26"/>
  <c r="Q120" i="26"/>
  <c r="K120" i="26"/>
  <c r="E120" i="26"/>
  <c r="L120" i="26"/>
  <c r="H120" i="26"/>
  <c r="M120" i="26"/>
  <c r="O120" i="26"/>
  <c r="Q108" i="26"/>
  <c r="M108" i="26"/>
  <c r="O108" i="26"/>
  <c r="S108" i="26"/>
  <c r="J108" i="26"/>
  <c r="K108" i="26"/>
  <c r="Q96" i="26"/>
  <c r="M96" i="26"/>
  <c r="R96" i="26"/>
  <c r="O96" i="26"/>
  <c r="S96" i="26"/>
  <c r="P96" i="26"/>
  <c r="J96" i="26"/>
  <c r="K96" i="26"/>
  <c r="N96" i="26"/>
  <c r="L96" i="26"/>
  <c r="G96" i="26"/>
  <c r="Q84" i="26"/>
  <c r="M84" i="26"/>
  <c r="R84" i="26"/>
  <c r="O84" i="26"/>
  <c r="S84" i="26"/>
  <c r="P84" i="26"/>
  <c r="J84" i="26"/>
  <c r="K84" i="26"/>
  <c r="G84" i="26"/>
  <c r="Q72" i="26"/>
  <c r="M72" i="26"/>
  <c r="R72" i="26"/>
  <c r="O72" i="26"/>
  <c r="S72" i="26"/>
  <c r="P72" i="26"/>
  <c r="J72" i="26"/>
  <c r="L72" i="26"/>
  <c r="K72" i="26"/>
  <c r="N72" i="26"/>
  <c r="G72" i="26"/>
  <c r="Q60" i="26"/>
  <c r="M60" i="26"/>
  <c r="R60" i="26"/>
  <c r="O60" i="26"/>
  <c r="S60" i="26"/>
  <c r="P60" i="26"/>
  <c r="J60" i="26"/>
  <c r="N60" i="26"/>
  <c r="K60" i="26"/>
  <c r="L60" i="26"/>
  <c r="G60" i="26"/>
  <c r="Q48" i="26"/>
  <c r="M48" i="26"/>
  <c r="R48" i="26"/>
  <c r="O48" i="26"/>
  <c r="S48" i="26"/>
  <c r="P48" i="26"/>
  <c r="J48" i="26"/>
  <c r="K48" i="26"/>
  <c r="G48" i="26"/>
  <c r="N48" i="26"/>
  <c r="L36" i="26"/>
  <c r="Q36" i="26"/>
  <c r="M36" i="26"/>
  <c r="O36" i="26"/>
  <c r="R36" i="26"/>
  <c r="P36" i="26"/>
  <c r="I36" i="26"/>
  <c r="J36" i="26"/>
  <c r="K36" i="26"/>
  <c r="N36" i="26"/>
  <c r="S36" i="26"/>
  <c r="G36" i="26"/>
  <c r="L24" i="26"/>
  <c r="Q24" i="26"/>
  <c r="M24" i="26"/>
  <c r="O24" i="26"/>
  <c r="R24" i="26"/>
  <c r="P24" i="26"/>
  <c r="I24" i="26"/>
  <c r="J24" i="26"/>
  <c r="K24" i="26"/>
  <c r="S24" i="26"/>
  <c r="G24" i="26"/>
  <c r="L12" i="26"/>
  <c r="Q12" i="26"/>
  <c r="M12" i="26"/>
  <c r="O12" i="26"/>
  <c r="R12" i="26"/>
  <c r="P12" i="26"/>
  <c r="I12" i="26"/>
  <c r="J12" i="26"/>
  <c r="K12" i="26"/>
  <c r="S12" i="26"/>
  <c r="N12" i="26"/>
  <c r="G12" i="26"/>
  <c r="B115" i="26"/>
  <c r="B49" i="26"/>
  <c r="C13" i="26"/>
  <c r="D72" i="26"/>
  <c r="E124" i="26"/>
  <c r="E110" i="26"/>
  <c r="E95" i="26"/>
  <c r="E82" i="26"/>
  <c r="E68" i="26"/>
  <c r="E29" i="26"/>
  <c r="E16" i="26"/>
  <c r="F4" i="26"/>
  <c r="F124" i="26"/>
  <c r="F110" i="26"/>
  <c r="F96" i="26"/>
  <c r="F82" i="26"/>
  <c r="F67" i="26"/>
  <c r="F53" i="26"/>
  <c r="F36" i="26"/>
  <c r="F19" i="26"/>
  <c r="G4" i="26"/>
  <c r="G121" i="26"/>
  <c r="G99" i="26"/>
  <c r="G77" i="26"/>
  <c r="G57" i="26"/>
  <c r="G37" i="26"/>
  <c r="G15" i="26"/>
  <c r="H128" i="26"/>
  <c r="H98" i="26"/>
  <c r="H62" i="26"/>
  <c r="H25" i="26"/>
  <c r="I122" i="26"/>
  <c r="I84" i="26"/>
  <c r="I48" i="26"/>
  <c r="J33" i="26"/>
  <c r="L105" i="26"/>
  <c r="O127" i="26"/>
  <c r="H110" i="26"/>
  <c r="B119" i="26"/>
  <c r="R119" i="26"/>
  <c r="N119" i="26"/>
  <c r="O119" i="26"/>
  <c r="P119" i="26"/>
  <c r="S119" i="26"/>
  <c r="Q119" i="26"/>
  <c r="F119" i="26"/>
  <c r="L119" i="26"/>
  <c r="H119" i="26"/>
  <c r="M119" i="26"/>
  <c r="Q107" i="26"/>
  <c r="M107" i="26"/>
  <c r="N107" i="26"/>
  <c r="R107" i="26"/>
  <c r="O107" i="26"/>
  <c r="S107" i="26"/>
  <c r="P107" i="26"/>
  <c r="L107" i="26"/>
  <c r="K107" i="26"/>
  <c r="G107" i="26"/>
  <c r="Q83" i="26"/>
  <c r="M83" i="26"/>
  <c r="N83" i="26"/>
  <c r="R83" i="26"/>
  <c r="O83" i="26"/>
  <c r="S83" i="26"/>
  <c r="P83" i="26"/>
  <c r="K83" i="26"/>
  <c r="G83" i="26"/>
  <c r="L83" i="26"/>
  <c r="B47" i="26"/>
  <c r="Q47" i="26"/>
  <c r="M47" i="26"/>
  <c r="N47" i="26"/>
  <c r="R47" i="26"/>
  <c r="O47" i="26"/>
  <c r="S47" i="26"/>
  <c r="P47" i="26"/>
  <c r="K47" i="26"/>
  <c r="G47" i="26"/>
  <c r="L47" i="26"/>
  <c r="Q35" i="26"/>
  <c r="M35" i="26"/>
  <c r="O35" i="26"/>
  <c r="R35" i="26"/>
  <c r="P35" i="26"/>
  <c r="S35" i="26"/>
  <c r="J35" i="26"/>
  <c r="K35" i="26"/>
  <c r="N35" i="26"/>
  <c r="L35" i="26"/>
  <c r="G35" i="26"/>
  <c r="C23" i="26"/>
  <c r="Q23" i="26"/>
  <c r="M23" i="26"/>
  <c r="O23" i="26"/>
  <c r="R23" i="26"/>
  <c r="P23" i="26"/>
  <c r="S23" i="26"/>
  <c r="J23" i="26"/>
  <c r="K23" i="26"/>
  <c r="G23" i="26"/>
  <c r="L23" i="26"/>
  <c r="N23" i="26"/>
  <c r="Q11" i="26"/>
  <c r="M11" i="26"/>
  <c r="O11" i="26"/>
  <c r="R11" i="26"/>
  <c r="P11" i="26"/>
  <c r="S11" i="26"/>
  <c r="J11" i="26"/>
  <c r="K11" i="26"/>
  <c r="N11" i="26"/>
  <c r="G11" i="26"/>
  <c r="B103" i="26"/>
  <c r="C109" i="26"/>
  <c r="D134" i="26"/>
  <c r="D62" i="26"/>
  <c r="E136" i="26"/>
  <c r="E123" i="26"/>
  <c r="E107" i="26"/>
  <c r="E80" i="26"/>
  <c r="E28" i="26"/>
  <c r="E15" i="26"/>
  <c r="F136" i="26"/>
  <c r="F123" i="26"/>
  <c r="F109" i="26"/>
  <c r="F66" i="26"/>
  <c r="F52" i="26"/>
  <c r="F35" i="26"/>
  <c r="G136" i="26"/>
  <c r="G120" i="26"/>
  <c r="G76" i="26"/>
  <c r="G56" i="26"/>
  <c r="G14" i="26"/>
  <c r="H97" i="26"/>
  <c r="H61" i="26"/>
  <c r="H24" i="26"/>
  <c r="I121" i="26"/>
  <c r="I83" i="26"/>
  <c r="I47" i="26"/>
  <c r="J31" i="26"/>
  <c r="K116" i="26"/>
  <c r="L104" i="26"/>
  <c r="C59" i="26"/>
  <c r="Q59" i="26"/>
  <c r="M59" i="26"/>
  <c r="N59" i="26"/>
  <c r="R59" i="26"/>
  <c r="O59" i="26"/>
  <c r="S59" i="26"/>
  <c r="P59" i="26"/>
  <c r="K59" i="26"/>
  <c r="L59" i="26"/>
  <c r="G59" i="26"/>
  <c r="R130" i="26"/>
  <c r="N130" i="26"/>
  <c r="O130" i="26"/>
  <c r="P130" i="26"/>
  <c r="S130" i="26"/>
  <c r="Q130" i="26"/>
  <c r="L130" i="26"/>
  <c r="M130" i="26"/>
  <c r="G130" i="26"/>
  <c r="I130" i="26"/>
  <c r="R118" i="26"/>
  <c r="N118" i="26"/>
  <c r="O118" i="26"/>
  <c r="P118" i="26"/>
  <c r="S118" i="26"/>
  <c r="Q118" i="26"/>
  <c r="G118" i="26"/>
  <c r="L118" i="26"/>
  <c r="M118" i="26"/>
  <c r="I118" i="26"/>
  <c r="N106" i="26"/>
  <c r="R106" i="26"/>
  <c r="S106" i="26"/>
  <c r="P106" i="26"/>
  <c r="L106" i="26"/>
  <c r="K106" i="26"/>
  <c r="O106" i="26"/>
  <c r="H106" i="26"/>
  <c r="Q106" i="26"/>
  <c r="N94" i="26"/>
  <c r="R94" i="26"/>
  <c r="S94" i="26"/>
  <c r="P94" i="26"/>
  <c r="K94" i="26"/>
  <c r="O94" i="26"/>
  <c r="M94" i="26"/>
  <c r="L94" i="26"/>
  <c r="H94" i="26"/>
  <c r="Q94" i="26"/>
  <c r="N82" i="26"/>
  <c r="R82" i="26"/>
  <c r="S82" i="26"/>
  <c r="P82" i="26"/>
  <c r="K82" i="26"/>
  <c r="Q82" i="26"/>
  <c r="H82" i="26"/>
  <c r="M82" i="26"/>
  <c r="L82" i="26"/>
  <c r="N70" i="26"/>
  <c r="R70" i="26"/>
  <c r="S70" i="26"/>
  <c r="P70" i="26"/>
  <c r="L70" i="26"/>
  <c r="K70" i="26"/>
  <c r="M70" i="26"/>
  <c r="Q70" i="26"/>
  <c r="H70" i="26"/>
  <c r="O70" i="26"/>
  <c r="N58" i="26"/>
  <c r="R58" i="26"/>
  <c r="S58" i="26"/>
  <c r="P58" i="26"/>
  <c r="K58" i="26"/>
  <c r="L58" i="26"/>
  <c r="Q58" i="26"/>
  <c r="O58" i="26"/>
  <c r="H58" i="26"/>
  <c r="M58" i="26"/>
  <c r="N46" i="26"/>
  <c r="R46" i="26"/>
  <c r="S46" i="26"/>
  <c r="P46" i="26"/>
  <c r="K46" i="26"/>
  <c r="F46" i="26"/>
  <c r="O46" i="26"/>
  <c r="M46" i="26"/>
  <c r="Q46" i="26"/>
  <c r="H46" i="26"/>
  <c r="L46" i="26"/>
  <c r="Q34" i="26"/>
  <c r="M34" i="26"/>
  <c r="N34" i="26"/>
  <c r="O34" i="26"/>
  <c r="R34" i="26"/>
  <c r="P34" i="26"/>
  <c r="S34" i="26"/>
  <c r="K34" i="26"/>
  <c r="L34" i="26"/>
  <c r="G34" i="26"/>
  <c r="Q22" i="26"/>
  <c r="M22" i="26"/>
  <c r="N22" i="26"/>
  <c r="O22" i="26"/>
  <c r="R22" i="26"/>
  <c r="P22" i="26"/>
  <c r="S22" i="26"/>
  <c r="K22" i="26"/>
  <c r="G22" i="26"/>
  <c r="L22" i="26"/>
  <c r="Q10" i="26"/>
  <c r="M10" i="26"/>
  <c r="N10" i="26"/>
  <c r="O10" i="26"/>
  <c r="R10" i="26"/>
  <c r="P10" i="26"/>
  <c r="S10" i="26"/>
  <c r="K10" i="26"/>
  <c r="G10" i="26"/>
  <c r="B97" i="26"/>
  <c r="B37" i="26"/>
  <c r="C107" i="26"/>
  <c r="D132" i="26"/>
  <c r="D60" i="26"/>
  <c r="E135" i="26"/>
  <c r="E122" i="26"/>
  <c r="E106" i="26"/>
  <c r="E92" i="26"/>
  <c r="E79" i="26"/>
  <c r="E53" i="26"/>
  <c r="E27" i="26"/>
  <c r="E14" i="26"/>
  <c r="F135" i="26"/>
  <c r="F107" i="26"/>
  <c r="F94" i="26"/>
  <c r="F65" i="26"/>
  <c r="F51" i="26"/>
  <c r="F34" i="26"/>
  <c r="G135" i="26"/>
  <c r="G119" i="26"/>
  <c r="G94" i="26"/>
  <c r="G75" i="26"/>
  <c r="G13" i="26"/>
  <c r="H96" i="26"/>
  <c r="H60" i="26"/>
  <c r="H23" i="26"/>
  <c r="I120" i="26"/>
  <c r="I82" i="26"/>
  <c r="I46" i="26"/>
  <c r="J105" i="26"/>
  <c r="J22" i="26"/>
  <c r="L85" i="26"/>
  <c r="M106" i="26"/>
  <c r="O16" i="26"/>
  <c r="C122" i="26"/>
  <c r="M122" i="26"/>
  <c r="R122" i="26"/>
  <c r="O122" i="26"/>
  <c r="P122" i="26"/>
  <c r="S122" i="26"/>
  <c r="J122" i="26"/>
  <c r="N122" i="26"/>
  <c r="K122" i="26"/>
  <c r="G122" i="26"/>
  <c r="L122" i="26"/>
  <c r="Q122" i="26"/>
  <c r="C74" i="26"/>
  <c r="L74" i="26"/>
  <c r="Q74" i="26"/>
  <c r="M74" i="26"/>
  <c r="R74" i="26"/>
  <c r="O74" i="26"/>
  <c r="I74" i="26"/>
  <c r="J74" i="26"/>
  <c r="K74" i="26"/>
  <c r="P74" i="26"/>
  <c r="F74" i="26"/>
  <c r="N74" i="26"/>
  <c r="S74" i="26"/>
  <c r="C131" i="26"/>
  <c r="R131" i="26"/>
  <c r="N131" i="26"/>
  <c r="O131" i="26"/>
  <c r="P131" i="26"/>
  <c r="S131" i="26"/>
  <c r="Q131" i="26"/>
  <c r="F131" i="26"/>
  <c r="L131" i="26"/>
  <c r="M131" i="26"/>
  <c r="H131" i="26"/>
  <c r="C95" i="26"/>
  <c r="Q95" i="26"/>
  <c r="M95" i="26"/>
  <c r="N95" i="26"/>
  <c r="R95" i="26"/>
  <c r="O95" i="26"/>
  <c r="S95" i="26"/>
  <c r="P95" i="26"/>
  <c r="K95" i="26"/>
  <c r="L95" i="26"/>
  <c r="G95" i="26"/>
  <c r="O129" i="26"/>
  <c r="P129" i="26"/>
  <c r="L129" i="26"/>
  <c r="S129" i="26"/>
  <c r="Q129" i="26"/>
  <c r="R129" i="26"/>
  <c r="M129" i="26"/>
  <c r="G129" i="26"/>
  <c r="N129" i="26"/>
  <c r="I129" i="26"/>
  <c r="K129" i="26"/>
  <c r="O117" i="26"/>
  <c r="P117" i="26"/>
  <c r="L117" i="26"/>
  <c r="S117" i="26"/>
  <c r="Q117" i="26"/>
  <c r="G117" i="26"/>
  <c r="N117" i="26"/>
  <c r="M117" i="26"/>
  <c r="I117" i="26"/>
  <c r="K117" i="26"/>
  <c r="N105" i="26"/>
  <c r="R105" i="26"/>
  <c r="O105" i="26"/>
  <c r="S105" i="26"/>
  <c r="P105" i="26"/>
  <c r="Q105" i="26"/>
  <c r="F105" i="26"/>
  <c r="E105" i="26"/>
  <c r="H105" i="26"/>
  <c r="N93" i="26"/>
  <c r="R93" i="26"/>
  <c r="O93" i="26"/>
  <c r="S93" i="26"/>
  <c r="P93" i="26"/>
  <c r="Q93" i="26"/>
  <c r="F93" i="26"/>
  <c r="E93" i="26"/>
  <c r="M93" i="26"/>
  <c r="L93" i="26"/>
  <c r="H93" i="26"/>
  <c r="N81" i="26"/>
  <c r="R81" i="26"/>
  <c r="O81" i="26"/>
  <c r="S81" i="26"/>
  <c r="P81" i="26"/>
  <c r="Q81" i="26"/>
  <c r="F81" i="26"/>
  <c r="E81" i="26"/>
  <c r="H81" i="26"/>
  <c r="M81" i="26"/>
  <c r="L81" i="26"/>
  <c r="N69" i="26"/>
  <c r="R69" i="26"/>
  <c r="O69" i="26"/>
  <c r="S69" i="26"/>
  <c r="P69" i="26"/>
  <c r="Q69" i="26"/>
  <c r="F69" i="26"/>
  <c r="E69" i="26"/>
  <c r="M69" i="26"/>
  <c r="H69" i="26"/>
  <c r="N57" i="26"/>
  <c r="R57" i="26"/>
  <c r="O57" i="26"/>
  <c r="S57" i="26"/>
  <c r="P57" i="26"/>
  <c r="Q57" i="26"/>
  <c r="F57" i="26"/>
  <c r="E57" i="26"/>
  <c r="L57" i="26"/>
  <c r="H57" i="26"/>
  <c r="M57" i="26"/>
  <c r="N45" i="26"/>
  <c r="R45" i="26"/>
  <c r="O45" i="26"/>
  <c r="S45" i="26"/>
  <c r="P45" i="26"/>
  <c r="Q45" i="26"/>
  <c r="F45" i="26"/>
  <c r="E45" i="26"/>
  <c r="M45" i="26"/>
  <c r="H45" i="26"/>
  <c r="L45" i="26"/>
  <c r="J45" i="26"/>
  <c r="Q33" i="26"/>
  <c r="M33" i="26"/>
  <c r="N33" i="26"/>
  <c r="O33" i="26"/>
  <c r="R33" i="26"/>
  <c r="P33" i="26"/>
  <c r="S33" i="26"/>
  <c r="K33" i="26"/>
  <c r="E33" i="26"/>
  <c r="L33" i="26"/>
  <c r="F33" i="26"/>
  <c r="H33" i="26"/>
  <c r="Q21" i="26"/>
  <c r="M21" i="26"/>
  <c r="N21" i="26"/>
  <c r="O21" i="26"/>
  <c r="R21" i="26"/>
  <c r="P21" i="26"/>
  <c r="S21" i="26"/>
  <c r="K21" i="26"/>
  <c r="E21" i="26"/>
  <c r="F21" i="26"/>
  <c r="L21" i="26"/>
  <c r="H21" i="26"/>
  <c r="Q9" i="26"/>
  <c r="M9" i="26"/>
  <c r="N9" i="26"/>
  <c r="O9" i="26"/>
  <c r="R9" i="26"/>
  <c r="P9" i="26"/>
  <c r="S9" i="26"/>
  <c r="K9" i="26"/>
  <c r="E9" i="26"/>
  <c r="F9" i="26"/>
  <c r="H9" i="26"/>
  <c r="L9" i="26"/>
  <c r="B91" i="26"/>
  <c r="B35" i="26"/>
  <c r="C97" i="26"/>
  <c r="D122" i="26"/>
  <c r="D50" i="26"/>
  <c r="E134" i="26"/>
  <c r="E121" i="26"/>
  <c r="E104" i="26"/>
  <c r="E91" i="26"/>
  <c r="E78" i="26"/>
  <c r="E65" i="26"/>
  <c r="E52" i="26"/>
  <c r="E26" i="26"/>
  <c r="E13" i="26"/>
  <c r="F134" i="26"/>
  <c r="F121" i="26"/>
  <c r="F106" i="26"/>
  <c r="F64" i="26"/>
  <c r="F49" i="26"/>
  <c r="F31" i="26"/>
  <c r="G133" i="26"/>
  <c r="G93" i="26"/>
  <c r="G74" i="26"/>
  <c r="G31" i="26"/>
  <c r="G9" i="26"/>
  <c r="H95" i="26"/>
  <c r="H59" i="26"/>
  <c r="H22" i="26"/>
  <c r="I119" i="26"/>
  <c r="I81" i="26"/>
  <c r="I45" i="26"/>
  <c r="J104" i="26"/>
  <c r="J21" i="26"/>
  <c r="L84" i="26"/>
  <c r="M105" i="26"/>
  <c r="Q134" i="26"/>
  <c r="C62" i="26"/>
  <c r="L62" i="26"/>
  <c r="Q62" i="26"/>
  <c r="M62" i="26"/>
  <c r="R62" i="26"/>
  <c r="O62" i="26"/>
  <c r="I62" i="26"/>
  <c r="J62" i="26"/>
  <c r="N62" i="26"/>
  <c r="P62" i="26"/>
  <c r="K62" i="26"/>
  <c r="F62" i="26"/>
  <c r="S62" i="26"/>
  <c r="B71" i="26"/>
  <c r="Q71" i="26"/>
  <c r="M71" i="26"/>
  <c r="N71" i="26"/>
  <c r="R71" i="26"/>
  <c r="O71" i="26"/>
  <c r="S71" i="26"/>
  <c r="P71" i="26"/>
  <c r="L71" i="26"/>
  <c r="K71" i="26"/>
  <c r="G71" i="26"/>
  <c r="O128" i="26"/>
  <c r="P128" i="26"/>
  <c r="L128" i="26"/>
  <c r="S128" i="26"/>
  <c r="Q128" i="26"/>
  <c r="R128" i="26"/>
  <c r="N128" i="26"/>
  <c r="I128" i="26"/>
  <c r="J128" i="26"/>
  <c r="O116" i="26"/>
  <c r="P116" i="26"/>
  <c r="L116" i="26"/>
  <c r="S116" i="26"/>
  <c r="Q116" i="26"/>
  <c r="R116" i="26"/>
  <c r="N116" i="26"/>
  <c r="M116" i="26"/>
  <c r="I116" i="26"/>
  <c r="J116" i="26"/>
  <c r="N104" i="26"/>
  <c r="R104" i="26"/>
  <c r="O104" i="26"/>
  <c r="S104" i="26"/>
  <c r="P104" i="26"/>
  <c r="Q104" i="26"/>
  <c r="H104" i="26"/>
  <c r="I104" i="26"/>
  <c r="M104" i="26"/>
  <c r="N92" i="26"/>
  <c r="R92" i="26"/>
  <c r="O92" i="26"/>
  <c r="S92" i="26"/>
  <c r="P92" i="26"/>
  <c r="Q92" i="26"/>
  <c r="M92" i="26"/>
  <c r="L92" i="26"/>
  <c r="H92" i="26"/>
  <c r="I92" i="26"/>
  <c r="N80" i="26"/>
  <c r="R80" i="26"/>
  <c r="O80" i="26"/>
  <c r="S80" i="26"/>
  <c r="P80" i="26"/>
  <c r="Q80" i="26"/>
  <c r="M80" i="26"/>
  <c r="H80" i="26"/>
  <c r="L80" i="26"/>
  <c r="I80" i="26"/>
  <c r="N68" i="26"/>
  <c r="R68" i="26"/>
  <c r="O68" i="26"/>
  <c r="S68" i="26"/>
  <c r="P68" i="26"/>
  <c r="Q68" i="26"/>
  <c r="M68" i="26"/>
  <c r="H68" i="26"/>
  <c r="I68" i="26"/>
  <c r="N56" i="26"/>
  <c r="R56" i="26"/>
  <c r="O56" i="26"/>
  <c r="S56" i="26"/>
  <c r="P56" i="26"/>
  <c r="Q56" i="26"/>
  <c r="M56" i="26"/>
  <c r="L56" i="26"/>
  <c r="H56" i="26"/>
  <c r="I56" i="26"/>
  <c r="N44" i="26"/>
  <c r="R44" i="26"/>
  <c r="O44" i="26"/>
  <c r="S44" i="26"/>
  <c r="P44" i="26"/>
  <c r="Q44" i="26"/>
  <c r="M44" i="26"/>
  <c r="H44" i="26"/>
  <c r="L44" i="26"/>
  <c r="I44" i="26"/>
  <c r="N32" i="26"/>
  <c r="O32" i="26"/>
  <c r="R32" i="26"/>
  <c r="P32" i="26"/>
  <c r="S32" i="26"/>
  <c r="L32" i="26"/>
  <c r="F32" i="26"/>
  <c r="Q32" i="26"/>
  <c r="H32" i="26"/>
  <c r="M32" i="26"/>
  <c r="J32" i="26"/>
  <c r="N20" i="26"/>
  <c r="O20" i="26"/>
  <c r="R20" i="26"/>
  <c r="P20" i="26"/>
  <c r="S20" i="26"/>
  <c r="F20" i="26"/>
  <c r="Q20" i="26"/>
  <c r="M20" i="26"/>
  <c r="L20" i="26"/>
  <c r="H20" i="26"/>
  <c r="J20" i="26"/>
  <c r="N8" i="26"/>
  <c r="O8" i="26"/>
  <c r="R8" i="26"/>
  <c r="P8" i="26"/>
  <c r="S8" i="26"/>
  <c r="F8" i="26"/>
  <c r="Q8" i="26"/>
  <c r="H8" i="26"/>
  <c r="L8" i="26"/>
  <c r="J8" i="26"/>
  <c r="B85" i="26"/>
  <c r="C85" i="26"/>
  <c r="D120" i="26"/>
  <c r="D48" i="26"/>
  <c r="E133" i="26"/>
  <c r="E119" i="26"/>
  <c r="E90" i="26"/>
  <c r="E77" i="26"/>
  <c r="E51" i="26"/>
  <c r="E38" i="26"/>
  <c r="E25" i="26"/>
  <c r="E12" i="26"/>
  <c r="F133" i="26"/>
  <c r="F120" i="26"/>
  <c r="F104" i="26"/>
  <c r="F63" i="26"/>
  <c r="F48" i="26"/>
  <c r="G132" i="26"/>
  <c r="G92" i="26"/>
  <c r="G70" i="26"/>
  <c r="G28" i="26"/>
  <c r="G8" i="26"/>
  <c r="H122" i="26"/>
  <c r="H86" i="26"/>
  <c r="H50" i="26"/>
  <c r="H13" i="26"/>
  <c r="I108" i="26"/>
  <c r="I72" i="26"/>
  <c r="I35" i="26"/>
  <c r="J132" i="26"/>
  <c r="J95" i="26"/>
  <c r="J59" i="26"/>
  <c r="K102" i="26"/>
  <c r="K32" i="26"/>
  <c r="L69" i="26"/>
  <c r="M89" i="26"/>
  <c r="R117" i="26"/>
  <c r="C98" i="26"/>
  <c r="L98" i="26"/>
  <c r="Q98" i="26"/>
  <c r="M98" i="26"/>
  <c r="R98" i="26"/>
  <c r="O98" i="26"/>
  <c r="I98" i="26"/>
  <c r="J98" i="26"/>
  <c r="K98" i="26"/>
  <c r="N98" i="26"/>
  <c r="P98" i="26"/>
  <c r="M17" i="36"/>
  <c r="O17" i="36" s="1"/>
  <c r="J17" i="36"/>
  <c r="P127" i="26"/>
  <c r="L127" i="26"/>
  <c r="S127" i="26"/>
  <c r="Q127" i="26"/>
  <c r="R127" i="26"/>
  <c r="N127" i="26"/>
  <c r="H127" i="26"/>
  <c r="I127" i="26"/>
  <c r="J127" i="26"/>
  <c r="K127" i="26"/>
  <c r="P115" i="26"/>
  <c r="L115" i="26"/>
  <c r="S115" i="26"/>
  <c r="Q115" i="26"/>
  <c r="R115" i="26"/>
  <c r="N115" i="26"/>
  <c r="H115" i="26"/>
  <c r="M115" i="26"/>
  <c r="I115" i="26"/>
  <c r="J115" i="26"/>
  <c r="O115" i="26"/>
  <c r="K115" i="26"/>
  <c r="R103" i="26"/>
  <c r="O103" i="26"/>
  <c r="S103" i="26"/>
  <c r="P103" i="26"/>
  <c r="Q103" i="26"/>
  <c r="G103" i="26"/>
  <c r="H103" i="26"/>
  <c r="I103" i="26"/>
  <c r="J103" i="26"/>
  <c r="N103" i="26"/>
  <c r="M103" i="26"/>
  <c r="L103" i="26"/>
  <c r="K103" i="26"/>
  <c r="R91" i="26"/>
  <c r="O91" i="26"/>
  <c r="S91" i="26"/>
  <c r="P91" i="26"/>
  <c r="Q91" i="26"/>
  <c r="M91" i="26"/>
  <c r="L91" i="26"/>
  <c r="G91" i="26"/>
  <c r="N91" i="26"/>
  <c r="H91" i="26"/>
  <c r="I91" i="26"/>
  <c r="J91" i="26"/>
  <c r="K91" i="26"/>
  <c r="R79" i="26"/>
  <c r="O79" i="26"/>
  <c r="S79" i="26"/>
  <c r="P79" i="26"/>
  <c r="Q79" i="26"/>
  <c r="G79" i="26"/>
  <c r="H79" i="26"/>
  <c r="L79" i="26"/>
  <c r="M79" i="26"/>
  <c r="I79" i="26"/>
  <c r="J79" i="26"/>
  <c r="K79" i="26"/>
  <c r="N79" i="26"/>
  <c r="R67" i="26"/>
  <c r="O67" i="26"/>
  <c r="S67" i="26"/>
  <c r="P67" i="26"/>
  <c r="Q67" i="26"/>
  <c r="M67" i="26"/>
  <c r="G67" i="26"/>
  <c r="H67" i="26"/>
  <c r="N67" i="26"/>
  <c r="I67" i="26"/>
  <c r="J67" i="26"/>
  <c r="L67" i="26"/>
  <c r="K67" i="26"/>
  <c r="R55" i="26"/>
  <c r="O55" i="26"/>
  <c r="S55" i="26"/>
  <c r="P55" i="26"/>
  <c r="Q55" i="26"/>
  <c r="N55" i="26"/>
  <c r="L55" i="26"/>
  <c r="G55" i="26"/>
  <c r="H55" i="26"/>
  <c r="M55" i="26"/>
  <c r="I55" i="26"/>
  <c r="J55" i="26"/>
  <c r="K55" i="26"/>
  <c r="R43" i="26"/>
  <c r="O43" i="26"/>
  <c r="S43" i="26"/>
  <c r="P43" i="26"/>
  <c r="Q43" i="26"/>
  <c r="M43" i="26"/>
  <c r="G43" i="26"/>
  <c r="H43" i="26"/>
  <c r="L43" i="26"/>
  <c r="I43" i="26"/>
  <c r="N43" i="26"/>
  <c r="J43" i="26"/>
  <c r="K43" i="26"/>
  <c r="N31" i="26"/>
  <c r="O31" i="26"/>
  <c r="R31" i="26"/>
  <c r="P31" i="26"/>
  <c r="S31" i="26"/>
  <c r="Q31" i="26"/>
  <c r="H31" i="26"/>
  <c r="I31" i="26"/>
  <c r="M31" i="26"/>
  <c r="N19" i="26"/>
  <c r="O19" i="26"/>
  <c r="R19" i="26"/>
  <c r="P19" i="26"/>
  <c r="S19" i="26"/>
  <c r="Q19" i="26"/>
  <c r="M19" i="26"/>
  <c r="L19" i="26"/>
  <c r="H19" i="26"/>
  <c r="I19" i="26"/>
  <c r="N7" i="26"/>
  <c r="O7" i="26"/>
  <c r="R7" i="26"/>
  <c r="P7" i="26"/>
  <c r="S7" i="26"/>
  <c r="Q7" i="26"/>
  <c r="H7" i="26"/>
  <c r="L7" i="26"/>
  <c r="I7" i="26"/>
  <c r="M7" i="26"/>
  <c r="B83" i="26"/>
  <c r="B25" i="26"/>
  <c r="C73" i="26"/>
  <c r="D38" i="26"/>
  <c r="E131" i="26"/>
  <c r="E118" i="26"/>
  <c r="E89" i="26"/>
  <c r="E76" i="26"/>
  <c r="E50" i="26"/>
  <c r="E37" i="26"/>
  <c r="E24" i="26"/>
  <c r="E11" i="26"/>
  <c r="F132" i="26"/>
  <c r="F118" i="26"/>
  <c r="F103" i="26"/>
  <c r="F61" i="26"/>
  <c r="F47" i="26"/>
  <c r="G131" i="26"/>
  <c r="G89" i="26"/>
  <c r="G69" i="26"/>
  <c r="G27" i="26"/>
  <c r="G7" i="26"/>
  <c r="H118" i="26"/>
  <c r="H85" i="26"/>
  <c r="H49" i="26"/>
  <c r="H12" i="26"/>
  <c r="I107" i="26"/>
  <c r="I71" i="26"/>
  <c r="I34" i="26"/>
  <c r="J131" i="26"/>
  <c r="J94" i="26"/>
  <c r="J58" i="26"/>
  <c r="J10" i="26"/>
  <c r="K93" i="26"/>
  <c r="K31" i="26"/>
  <c r="L68" i="26"/>
  <c r="S98" i="26"/>
  <c r="C50" i="26"/>
  <c r="L50" i="26"/>
  <c r="Q50" i="26"/>
  <c r="M50" i="26"/>
  <c r="R50" i="26"/>
  <c r="O50" i="26"/>
  <c r="I50" i="26"/>
  <c r="J50" i="26"/>
  <c r="P50" i="26"/>
  <c r="K50" i="26"/>
  <c r="F50" i="26"/>
  <c r="S50" i="26"/>
  <c r="N50" i="26"/>
  <c r="P126" i="26"/>
  <c r="L126" i="26"/>
  <c r="S126" i="26"/>
  <c r="Q126" i="26"/>
  <c r="R126" i="26"/>
  <c r="N126" i="26"/>
  <c r="H126" i="26"/>
  <c r="I126" i="26"/>
  <c r="J126" i="26"/>
  <c r="K126" i="26"/>
  <c r="M126" i="26"/>
  <c r="O126" i="26"/>
  <c r="P114" i="26"/>
  <c r="L114" i="26"/>
  <c r="S114" i="26"/>
  <c r="Q114" i="26"/>
  <c r="R114" i="26"/>
  <c r="N114" i="26"/>
  <c r="H114" i="26"/>
  <c r="M114" i="26"/>
  <c r="I114" i="26"/>
  <c r="J114" i="26"/>
  <c r="O114" i="26"/>
  <c r="K114" i="26"/>
  <c r="R102" i="26"/>
  <c r="O102" i="26"/>
  <c r="S102" i="26"/>
  <c r="P102" i="26"/>
  <c r="Q102" i="26"/>
  <c r="G102" i="26"/>
  <c r="H102" i="26"/>
  <c r="I102" i="26"/>
  <c r="J102" i="26"/>
  <c r="N102" i="26"/>
  <c r="M102" i="26"/>
  <c r="L102" i="26"/>
  <c r="R90" i="26"/>
  <c r="O90" i="26"/>
  <c r="S90" i="26"/>
  <c r="P90" i="26"/>
  <c r="Q90" i="26"/>
  <c r="M90" i="26"/>
  <c r="L90" i="26"/>
  <c r="G90" i="26"/>
  <c r="N90" i="26"/>
  <c r="H90" i="26"/>
  <c r="I90" i="26"/>
  <c r="J90" i="26"/>
  <c r="R78" i="26"/>
  <c r="O78" i="26"/>
  <c r="S78" i="26"/>
  <c r="P78" i="26"/>
  <c r="Q78" i="26"/>
  <c r="M78" i="26"/>
  <c r="G78" i="26"/>
  <c r="H78" i="26"/>
  <c r="L78" i="26"/>
  <c r="I78" i="26"/>
  <c r="J78" i="26"/>
  <c r="K78" i="26"/>
  <c r="N78" i="26"/>
  <c r="R66" i="26"/>
  <c r="O66" i="26"/>
  <c r="S66" i="26"/>
  <c r="P66" i="26"/>
  <c r="Q66" i="26"/>
  <c r="M66" i="26"/>
  <c r="G66" i="26"/>
  <c r="H66" i="26"/>
  <c r="N66" i="26"/>
  <c r="I66" i="26"/>
  <c r="J66" i="26"/>
  <c r="L66" i="26"/>
  <c r="K66" i="26"/>
  <c r="R54" i="26"/>
  <c r="O54" i="26"/>
  <c r="S54" i="26"/>
  <c r="P54" i="26"/>
  <c r="Q54" i="26"/>
  <c r="M54" i="26"/>
  <c r="L54" i="26"/>
  <c r="G54" i="26"/>
  <c r="H54" i="26"/>
  <c r="I54" i="26"/>
  <c r="J54" i="26"/>
  <c r="K54" i="26"/>
  <c r="S42" i="26"/>
  <c r="G42" i="26"/>
  <c r="H42" i="26"/>
  <c r="I42" i="26"/>
  <c r="J42" i="26"/>
  <c r="K42" i="26"/>
  <c r="O30" i="26"/>
  <c r="R30" i="26"/>
  <c r="P30" i="26"/>
  <c r="S30" i="26"/>
  <c r="Q30" i="26"/>
  <c r="M30" i="26"/>
  <c r="G30" i="26"/>
  <c r="N30" i="26"/>
  <c r="H30" i="26"/>
  <c r="I30" i="26"/>
  <c r="J30" i="26"/>
  <c r="K30" i="26"/>
  <c r="O18" i="26"/>
  <c r="R18" i="26"/>
  <c r="P18" i="26"/>
  <c r="S18" i="26"/>
  <c r="Q18" i="26"/>
  <c r="M18" i="26"/>
  <c r="G18" i="26"/>
  <c r="L18" i="26"/>
  <c r="H18" i="26"/>
  <c r="I18" i="26"/>
  <c r="J18" i="26"/>
  <c r="N18" i="26"/>
  <c r="K18" i="26"/>
  <c r="O6" i="26"/>
  <c r="R6" i="26"/>
  <c r="P6" i="26"/>
  <c r="S6" i="26"/>
  <c r="Q6" i="26"/>
  <c r="M6" i="26"/>
  <c r="G6" i="26"/>
  <c r="N6" i="26"/>
  <c r="H6" i="26"/>
  <c r="L6" i="26"/>
  <c r="I6" i="26"/>
  <c r="J6" i="26"/>
  <c r="K6" i="26"/>
  <c r="B79" i="26"/>
  <c r="B19" i="26"/>
  <c r="C61" i="26"/>
  <c r="D108" i="26"/>
  <c r="D36" i="26"/>
  <c r="E130" i="26"/>
  <c r="E117" i="26"/>
  <c r="E88" i="26"/>
  <c r="E75" i="26"/>
  <c r="E62" i="26"/>
  <c r="E49" i="26"/>
  <c r="E36" i="26"/>
  <c r="E23" i="26"/>
  <c r="E10" i="26"/>
  <c r="F130" i="26"/>
  <c r="F117" i="26"/>
  <c r="F102" i="26"/>
  <c r="F60" i="26"/>
  <c r="F44" i="26"/>
  <c r="F12" i="26"/>
  <c r="G128" i="26"/>
  <c r="G88" i="26"/>
  <c r="G68" i="26"/>
  <c r="G46" i="26"/>
  <c r="G26" i="26"/>
  <c r="H117" i="26"/>
  <c r="H84" i="26"/>
  <c r="H48" i="26"/>
  <c r="H11" i="26"/>
  <c r="I106" i="26"/>
  <c r="I70" i="26"/>
  <c r="I33" i="26"/>
  <c r="J130" i="26"/>
  <c r="J93" i="26"/>
  <c r="J57" i="26"/>
  <c r="J9" i="26"/>
  <c r="K92" i="26"/>
  <c r="K20" i="26"/>
  <c r="L49" i="26"/>
  <c r="M38" i="26"/>
  <c r="S4" i="26"/>
  <c r="Q4" i="26"/>
  <c r="R4" i="26"/>
  <c r="N4" i="26"/>
  <c r="O4" i="26"/>
  <c r="I4" i="26"/>
  <c r="M4" i="26"/>
  <c r="J4" i="26"/>
  <c r="K4" i="26"/>
  <c r="L4" i="26"/>
  <c r="P4" i="26"/>
  <c r="S125" i="26"/>
  <c r="Q125" i="26"/>
  <c r="R125" i="26"/>
  <c r="N125" i="26"/>
  <c r="O125" i="26"/>
  <c r="I125" i="26"/>
  <c r="J125" i="26"/>
  <c r="K125" i="26"/>
  <c r="M125" i="26"/>
  <c r="P125" i="26"/>
  <c r="S113" i="26"/>
  <c r="Q113" i="26"/>
  <c r="R113" i="26"/>
  <c r="N113" i="26"/>
  <c r="O113" i="26"/>
  <c r="M113" i="26"/>
  <c r="I113" i="26"/>
  <c r="L113" i="26"/>
  <c r="J113" i="26"/>
  <c r="K113" i="26"/>
  <c r="P113" i="26"/>
  <c r="S101" i="26"/>
  <c r="P101" i="26"/>
  <c r="L101" i="26"/>
  <c r="Q101" i="26"/>
  <c r="N101" i="26"/>
  <c r="H101" i="26"/>
  <c r="O101" i="26"/>
  <c r="I101" i="26"/>
  <c r="J101" i="26"/>
  <c r="M101" i="26"/>
  <c r="K101" i="26"/>
  <c r="R101" i="26"/>
  <c r="S89" i="26"/>
  <c r="P89" i="26"/>
  <c r="L89" i="26"/>
  <c r="Q89" i="26"/>
  <c r="N89" i="26"/>
  <c r="O89" i="26"/>
  <c r="H89" i="26"/>
  <c r="I89" i="26"/>
  <c r="J89" i="26"/>
  <c r="K89" i="26"/>
  <c r="R89" i="26"/>
  <c r="S77" i="26"/>
  <c r="P77" i="26"/>
  <c r="L77" i="26"/>
  <c r="Q77" i="26"/>
  <c r="N77" i="26"/>
  <c r="H77" i="26"/>
  <c r="I77" i="26"/>
  <c r="M77" i="26"/>
  <c r="J77" i="26"/>
  <c r="K77" i="26"/>
  <c r="R77" i="26"/>
  <c r="O77" i="26"/>
  <c r="S65" i="26"/>
  <c r="P65" i="26"/>
  <c r="L65" i="26"/>
  <c r="Q65" i="26"/>
  <c r="N65" i="26"/>
  <c r="H65" i="26"/>
  <c r="I65" i="26"/>
  <c r="J65" i="26"/>
  <c r="R65" i="26"/>
  <c r="O65" i="26"/>
  <c r="K65" i="26"/>
  <c r="S53" i="26"/>
  <c r="P53" i="26"/>
  <c r="L53" i="26"/>
  <c r="Q53" i="26"/>
  <c r="N53" i="26"/>
  <c r="H53" i="26"/>
  <c r="O53" i="26"/>
  <c r="I53" i="26"/>
  <c r="M53" i="26"/>
  <c r="J53" i="26"/>
  <c r="R53" i="26"/>
  <c r="K53" i="26"/>
  <c r="J41" i="26"/>
  <c r="O41" i="26"/>
  <c r="P41" i="26"/>
  <c r="N41" i="26"/>
  <c r="O29" i="26"/>
  <c r="R29" i="26"/>
  <c r="P29" i="26"/>
  <c r="S29" i="26"/>
  <c r="Q29" i="26"/>
  <c r="M29" i="26"/>
  <c r="G29" i="26"/>
  <c r="N29" i="26"/>
  <c r="H29" i="26"/>
  <c r="I29" i="26"/>
  <c r="J29" i="26"/>
  <c r="K29" i="26"/>
  <c r="L29" i="26"/>
  <c r="O17" i="26"/>
  <c r="R17" i="26"/>
  <c r="P17" i="26"/>
  <c r="S17" i="26"/>
  <c r="Q17" i="26"/>
  <c r="M17" i="26"/>
  <c r="G17" i="26"/>
  <c r="L17" i="26"/>
  <c r="H17" i="26"/>
  <c r="I17" i="26"/>
  <c r="J17" i="26"/>
  <c r="N17" i="26"/>
  <c r="K17" i="26"/>
  <c r="O5" i="26"/>
  <c r="R5" i="26"/>
  <c r="P5" i="26"/>
  <c r="S5" i="26"/>
  <c r="Q5" i="26"/>
  <c r="M5" i="26"/>
  <c r="G5" i="26"/>
  <c r="N5" i="26"/>
  <c r="H5" i="26"/>
  <c r="L5" i="26"/>
  <c r="I5" i="26"/>
  <c r="J5" i="26"/>
  <c r="K5" i="26"/>
  <c r="B73" i="26"/>
  <c r="B13" i="26"/>
  <c r="C49" i="26"/>
  <c r="D98" i="26"/>
  <c r="E129" i="26"/>
  <c r="E116" i="26"/>
  <c r="E87" i="26"/>
  <c r="E74" i="26"/>
  <c r="E61" i="26"/>
  <c r="E48" i="26"/>
  <c r="E35" i="26"/>
  <c r="E22" i="26"/>
  <c r="E8" i="26"/>
  <c r="F129" i="26"/>
  <c r="F116" i="26"/>
  <c r="F101" i="26"/>
  <c r="F73" i="26"/>
  <c r="F59" i="26"/>
  <c r="F43" i="26"/>
  <c r="F11" i="26"/>
  <c r="G127" i="26"/>
  <c r="G106" i="26"/>
  <c r="G87" i="26"/>
  <c r="G65" i="26"/>
  <c r="G45" i="26"/>
  <c r="G25" i="26"/>
  <c r="H116" i="26"/>
  <c r="H83" i="26"/>
  <c r="H47" i="26"/>
  <c r="H10" i="26"/>
  <c r="I105" i="26"/>
  <c r="I69" i="26"/>
  <c r="I32" i="26"/>
  <c r="J129" i="26"/>
  <c r="J92" i="26"/>
  <c r="J56" i="26"/>
  <c r="J7" i="26"/>
  <c r="K90" i="26"/>
  <c r="K19" i="26"/>
  <c r="L48" i="26"/>
  <c r="M8" i="26"/>
  <c r="C26" i="26"/>
  <c r="P26" i="26"/>
  <c r="S26" i="26"/>
  <c r="L26" i="26"/>
  <c r="Q26" i="26"/>
  <c r="N26" i="26"/>
  <c r="O26" i="26"/>
  <c r="R26" i="26"/>
  <c r="H26" i="26"/>
  <c r="I26" i="26"/>
  <c r="J26" i="26"/>
  <c r="K26" i="26"/>
  <c r="M26" i="26"/>
  <c r="Q136" i="26"/>
  <c r="M136" i="26"/>
  <c r="R136" i="26"/>
  <c r="O136" i="26"/>
  <c r="P136" i="26"/>
  <c r="I136" i="26"/>
  <c r="S136" i="26"/>
  <c r="J136" i="26"/>
  <c r="K136" i="26"/>
  <c r="L136" i="26"/>
  <c r="N136" i="26"/>
  <c r="Q124" i="26"/>
  <c r="M124" i="26"/>
  <c r="R124" i="26"/>
  <c r="O124" i="26"/>
  <c r="P124" i="26"/>
  <c r="S124" i="26"/>
  <c r="I124" i="26"/>
  <c r="J124" i="26"/>
  <c r="N124" i="26"/>
  <c r="K124" i="26"/>
  <c r="Q112" i="26"/>
  <c r="M112" i="26"/>
  <c r="R112" i="26"/>
  <c r="O112" i="26"/>
  <c r="P112" i="26"/>
  <c r="S112" i="26"/>
  <c r="I112" i="26"/>
  <c r="L112" i="26"/>
  <c r="J112" i="26"/>
  <c r="K112" i="26"/>
  <c r="G112" i="26"/>
  <c r="S100" i="26"/>
  <c r="P100" i="26"/>
  <c r="L100" i="26"/>
  <c r="Q100" i="26"/>
  <c r="N100" i="26"/>
  <c r="R100" i="26"/>
  <c r="H100" i="26"/>
  <c r="O100" i="26"/>
  <c r="I100" i="26"/>
  <c r="J100" i="26"/>
  <c r="M100" i="26"/>
  <c r="K100" i="26"/>
  <c r="S88" i="26"/>
  <c r="P88" i="26"/>
  <c r="L88" i="26"/>
  <c r="Q88" i="26"/>
  <c r="N88" i="26"/>
  <c r="R88" i="26"/>
  <c r="O88" i="26"/>
  <c r="H88" i="26"/>
  <c r="I88" i="26"/>
  <c r="J88" i="26"/>
  <c r="K88" i="26"/>
  <c r="M88" i="26"/>
  <c r="S76" i="26"/>
  <c r="P76" i="26"/>
  <c r="L76" i="26"/>
  <c r="Q76" i="26"/>
  <c r="N76" i="26"/>
  <c r="R76" i="26"/>
  <c r="H76" i="26"/>
  <c r="I76" i="26"/>
  <c r="M76" i="26"/>
  <c r="J76" i="26"/>
  <c r="K76" i="26"/>
  <c r="O76" i="26"/>
  <c r="S64" i="26"/>
  <c r="P64" i="26"/>
  <c r="L64" i="26"/>
  <c r="Q64" i="26"/>
  <c r="N64" i="26"/>
  <c r="R64" i="26"/>
  <c r="H64" i="26"/>
  <c r="I64" i="26"/>
  <c r="J64" i="26"/>
  <c r="O64" i="26"/>
  <c r="K64" i="26"/>
  <c r="M64" i="26"/>
  <c r="S52" i="26"/>
  <c r="P52" i="26"/>
  <c r="L52" i="26"/>
  <c r="Q52" i="26"/>
  <c r="N52" i="26"/>
  <c r="R52" i="26"/>
  <c r="H52" i="26"/>
  <c r="O52" i="26"/>
  <c r="I52" i="26"/>
  <c r="M52" i="26"/>
  <c r="J52" i="26"/>
  <c r="K52" i="26"/>
  <c r="R40" i="26"/>
  <c r="P40" i="26"/>
  <c r="S40" i="26"/>
  <c r="Q40" i="26"/>
  <c r="M40" i="26"/>
  <c r="N40" i="26"/>
  <c r="O40" i="26"/>
  <c r="H40" i="26"/>
  <c r="L40" i="26"/>
  <c r="I40" i="26"/>
  <c r="J40" i="26"/>
  <c r="K40" i="26"/>
  <c r="R28" i="26"/>
  <c r="P28" i="26"/>
  <c r="S28" i="26"/>
  <c r="Q28" i="26"/>
  <c r="M28" i="26"/>
  <c r="N28" i="26"/>
  <c r="O28" i="26"/>
  <c r="H28" i="26"/>
  <c r="I28" i="26"/>
  <c r="J28" i="26"/>
  <c r="K28" i="26"/>
  <c r="L28" i="26"/>
  <c r="R16" i="26"/>
  <c r="P16" i="26"/>
  <c r="S16" i="26"/>
  <c r="Q16" i="26"/>
  <c r="M16" i="26"/>
  <c r="N16" i="26"/>
  <c r="L16" i="26"/>
  <c r="H16" i="26"/>
  <c r="I16" i="26"/>
  <c r="J16" i="26"/>
  <c r="K16" i="26"/>
  <c r="B133" i="26"/>
  <c r="B67" i="26"/>
  <c r="B11" i="26"/>
  <c r="C47" i="26"/>
  <c r="D96" i="26"/>
  <c r="D24" i="26"/>
  <c r="E128" i="26"/>
  <c r="E115" i="26"/>
  <c r="E86" i="26"/>
  <c r="E73" i="26"/>
  <c r="E60" i="26"/>
  <c r="E47" i="26"/>
  <c r="E34" i="26"/>
  <c r="E20" i="26"/>
  <c r="E7" i="26"/>
  <c r="F128" i="26"/>
  <c r="F115" i="26"/>
  <c r="F100" i="26"/>
  <c r="F72" i="26"/>
  <c r="F58" i="26"/>
  <c r="F42" i="26"/>
  <c r="F26" i="26"/>
  <c r="F10" i="26"/>
  <c r="G126" i="26"/>
  <c r="G105" i="26"/>
  <c r="G86" i="26"/>
  <c r="G64" i="26"/>
  <c r="G44" i="26"/>
  <c r="G21" i="26"/>
  <c r="H113" i="26"/>
  <c r="H74" i="26"/>
  <c r="H37" i="26"/>
  <c r="I134" i="26"/>
  <c r="I96" i="26"/>
  <c r="I60" i="26"/>
  <c r="I23" i="26"/>
  <c r="J120" i="26"/>
  <c r="J83" i="26"/>
  <c r="J47" i="26"/>
  <c r="K131" i="26"/>
  <c r="K81" i="26"/>
  <c r="K8" i="26"/>
  <c r="L31" i="26"/>
  <c r="N112" i="26"/>
  <c r="C110" i="26"/>
  <c r="O110" i="26"/>
  <c r="P110" i="26"/>
  <c r="I110" i="26"/>
  <c r="J110" i="26"/>
  <c r="K110" i="26"/>
  <c r="G110" i="26"/>
  <c r="N110" i="26"/>
  <c r="C14" i="26"/>
  <c r="P14" i="26"/>
  <c r="S14" i="26"/>
  <c r="L14" i="26"/>
  <c r="Q14" i="26"/>
  <c r="N14" i="26"/>
  <c r="O14" i="26"/>
  <c r="R14" i="26"/>
  <c r="H14" i="26"/>
  <c r="M14" i="26"/>
  <c r="I14" i="26"/>
  <c r="J14" i="26"/>
  <c r="K14" i="26"/>
  <c r="D135" i="26"/>
  <c r="Q135" i="26"/>
  <c r="M135" i="26"/>
  <c r="R135" i="26"/>
  <c r="O135" i="26"/>
  <c r="P135" i="26"/>
  <c r="S135" i="26"/>
  <c r="I135" i="26"/>
  <c r="J135" i="26"/>
  <c r="K135" i="26"/>
  <c r="L135" i="26"/>
  <c r="N135" i="26"/>
  <c r="D123" i="26"/>
  <c r="Q123" i="26"/>
  <c r="M123" i="26"/>
  <c r="R123" i="26"/>
  <c r="O123" i="26"/>
  <c r="P123" i="26"/>
  <c r="S123" i="26"/>
  <c r="I123" i="26"/>
  <c r="J123" i="26"/>
  <c r="N123" i="26"/>
  <c r="K123" i="26"/>
  <c r="L123" i="26"/>
  <c r="D99" i="26"/>
  <c r="S99" i="26"/>
  <c r="P99" i="26"/>
  <c r="L99" i="26"/>
  <c r="Q99" i="26"/>
  <c r="N99" i="26"/>
  <c r="R99" i="26"/>
  <c r="O99" i="26"/>
  <c r="H99" i="26"/>
  <c r="I99" i="26"/>
  <c r="J99" i="26"/>
  <c r="M99" i="26"/>
  <c r="K99" i="26"/>
  <c r="D87" i="26"/>
  <c r="S87" i="26"/>
  <c r="P87" i="26"/>
  <c r="L87" i="26"/>
  <c r="Q87" i="26"/>
  <c r="N87" i="26"/>
  <c r="R87" i="26"/>
  <c r="O87" i="26"/>
  <c r="H87" i="26"/>
  <c r="I87" i="26"/>
  <c r="J87" i="26"/>
  <c r="K87" i="26"/>
  <c r="M87" i="26"/>
  <c r="D75" i="26"/>
  <c r="S75" i="26"/>
  <c r="P75" i="26"/>
  <c r="L75" i="26"/>
  <c r="Q75" i="26"/>
  <c r="N75" i="26"/>
  <c r="R75" i="26"/>
  <c r="O75" i="26"/>
  <c r="H75" i="26"/>
  <c r="I75" i="26"/>
  <c r="M75" i="26"/>
  <c r="J75" i="26"/>
  <c r="K75" i="26"/>
  <c r="D63" i="26"/>
  <c r="S63" i="26"/>
  <c r="P63" i="26"/>
  <c r="L63" i="26"/>
  <c r="Q63" i="26"/>
  <c r="N63" i="26"/>
  <c r="R63" i="26"/>
  <c r="O63" i="26"/>
  <c r="H63" i="26"/>
  <c r="I63" i="26"/>
  <c r="J63" i="26"/>
  <c r="K63" i="26"/>
  <c r="M63" i="26"/>
  <c r="D51" i="26"/>
  <c r="S51" i="26"/>
  <c r="P51" i="26"/>
  <c r="L51" i="26"/>
  <c r="Q51" i="26"/>
  <c r="N51" i="26"/>
  <c r="R51" i="26"/>
  <c r="O51" i="26"/>
  <c r="H51" i="26"/>
  <c r="I51" i="26"/>
  <c r="M51" i="26"/>
  <c r="J51" i="26"/>
  <c r="K51" i="26"/>
  <c r="D39" i="26"/>
  <c r="P39" i="26"/>
  <c r="S39" i="26"/>
  <c r="L39" i="26"/>
  <c r="Q39" i="26"/>
  <c r="N39" i="26"/>
  <c r="O39" i="26"/>
  <c r="M39" i="26"/>
  <c r="H39" i="26"/>
  <c r="I39" i="26"/>
  <c r="J39" i="26"/>
  <c r="R39" i="26"/>
  <c r="K39" i="26"/>
  <c r="D27" i="26"/>
  <c r="P27" i="26"/>
  <c r="S27" i="26"/>
  <c r="L27" i="26"/>
  <c r="Q27" i="26"/>
  <c r="N27" i="26"/>
  <c r="O27" i="26"/>
  <c r="H27" i="26"/>
  <c r="I27" i="26"/>
  <c r="R27" i="26"/>
  <c r="J27" i="26"/>
  <c r="K27" i="26"/>
  <c r="M27" i="26"/>
  <c r="D15" i="26"/>
  <c r="P15" i="26"/>
  <c r="S15" i="26"/>
  <c r="L15" i="26"/>
  <c r="Q15" i="26"/>
  <c r="N15" i="26"/>
  <c r="O15" i="26"/>
  <c r="H15" i="26"/>
  <c r="M15" i="26"/>
  <c r="R15" i="26"/>
  <c r="I15" i="26"/>
  <c r="J15" i="26"/>
  <c r="K15" i="26"/>
  <c r="B131" i="26"/>
  <c r="B61" i="26"/>
  <c r="B7" i="26"/>
  <c r="C37" i="26"/>
  <c r="D86" i="26"/>
  <c r="D14" i="26"/>
  <c r="E127" i="26"/>
  <c r="E114" i="26"/>
  <c r="E98" i="26"/>
  <c r="E85" i="26"/>
  <c r="E72" i="26"/>
  <c r="E59" i="26"/>
  <c r="E46" i="26"/>
  <c r="E32" i="26"/>
  <c r="E19" i="26"/>
  <c r="E6" i="26"/>
  <c r="F127" i="26"/>
  <c r="F114" i="26"/>
  <c r="F99" i="26"/>
  <c r="F85" i="26"/>
  <c r="F71" i="26"/>
  <c r="F56" i="26"/>
  <c r="F40" i="26"/>
  <c r="F24" i="26"/>
  <c r="F7" i="26"/>
  <c r="G125" i="26"/>
  <c r="G104" i="26"/>
  <c r="G82" i="26"/>
  <c r="G63" i="26"/>
  <c r="G40" i="26"/>
  <c r="G20" i="26"/>
  <c r="H134" i="26"/>
  <c r="H112" i="26"/>
  <c r="H73" i="26"/>
  <c r="H36" i="26"/>
  <c r="I133" i="26"/>
  <c r="I95" i="26"/>
  <c r="I59" i="26"/>
  <c r="I22" i="26"/>
  <c r="J119" i="26"/>
  <c r="J82" i="26"/>
  <c r="J46" i="26"/>
  <c r="K130" i="26"/>
  <c r="K80" i="26"/>
  <c r="K7" i="26"/>
  <c r="L30" i="26"/>
  <c r="N84" i="26"/>
  <c r="P108" i="26"/>
  <c r="N108" i="26"/>
  <c r="H108" i="26"/>
  <c r="R108" i="26"/>
  <c r="G108" i="26"/>
  <c r="E108" i="26"/>
  <c r="F108" i="26"/>
  <c r="L108" i="26"/>
  <c r="L109" i="26"/>
  <c r="R109" i="26"/>
  <c r="B109" i="26"/>
  <c r="K109" i="26"/>
  <c r="Q109" i="26"/>
  <c r="I109" i="26"/>
  <c r="H109" i="26"/>
  <c r="P109" i="26"/>
  <c r="E109" i="26"/>
  <c r="G109" i="26"/>
  <c r="O109" i="26"/>
  <c r="S111" i="26"/>
  <c r="N111" i="26"/>
  <c r="O111" i="26"/>
  <c r="P111" i="26"/>
  <c r="Q111" i="26"/>
  <c r="R111" i="26"/>
  <c r="E111" i="26"/>
  <c r="M111" i="26"/>
  <c r="F111" i="26"/>
  <c r="G111" i="26"/>
  <c r="H111" i="26"/>
  <c r="I111" i="26"/>
  <c r="J111" i="26"/>
  <c r="K111" i="26"/>
  <c r="L111" i="26"/>
  <c r="S110" i="26"/>
  <c r="R110" i="26"/>
  <c r="Q110" i="26"/>
  <c r="M110" i="26"/>
  <c r="L110" i="26"/>
  <c r="L42" i="26"/>
  <c r="M42" i="26"/>
  <c r="N42" i="26"/>
  <c r="O42" i="26"/>
  <c r="P42" i="26"/>
  <c r="Q42" i="26"/>
  <c r="R42" i="26"/>
  <c r="K41" i="26"/>
  <c r="L41" i="26"/>
  <c r="M41" i="26"/>
  <c r="Q41" i="26"/>
  <c r="F41" i="26"/>
  <c r="R41" i="26"/>
  <c r="G41" i="26"/>
  <c r="S41" i="26"/>
  <c r="H41" i="26"/>
  <c r="I41" i="26"/>
  <c r="AO74" i="24"/>
  <c r="F15" i="23"/>
  <c r="AO84" i="24"/>
  <c r="D4" i="26"/>
  <c r="C4" i="26"/>
  <c r="B4" i="26"/>
  <c r="B95" i="26"/>
  <c r="B23" i="26"/>
  <c r="D131" i="26"/>
  <c r="D119" i="26"/>
  <c r="D107" i="26"/>
  <c r="D95" i="26"/>
  <c r="D83" i="26"/>
  <c r="D71" i="26"/>
  <c r="D59" i="26"/>
  <c r="D47" i="26"/>
  <c r="D35" i="26"/>
  <c r="D23" i="26"/>
  <c r="D11" i="26"/>
  <c r="C83" i="26"/>
  <c r="C11" i="26"/>
  <c r="D129" i="26"/>
  <c r="C129" i="26"/>
  <c r="B129" i="26"/>
  <c r="D117" i="26"/>
  <c r="C117" i="26"/>
  <c r="B117" i="26"/>
  <c r="D105" i="26"/>
  <c r="C105" i="26"/>
  <c r="B105" i="26"/>
  <c r="D93" i="26"/>
  <c r="C93" i="26"/>
  <c r="B93" i="26"/>
  <c r="D81" i="26"/>
  <c r="C81" i="26"/>
  <c r="B81" i="26"/>
  <c r="D69" i="26"/>
  <c r="C69" i="26"/>
  <c r="B69" i="26"/>
  <c r="D57" i="26"/>
  <c r="C57" i="26"/>
  <c r="B57" i="26"/>
  <c r="D45" i="26"/>
  <c r="C45" i="26"/>
  <c r="B45" i="26"/>
  <c r="D33" i="26"/>
  <c r="C33" i="26"/>
  <c r="B33" i="26"/>
  <c r="D21" i="26"/>
  <c r="C21" i="26"/>
  <c r="B21" i="26"/>
  <c r="D9" i="26"/>
  <c r="C9" i="26"/>
  <c r="B9" i="26"/>
  <c r="B107" i="26"/>
  <c r="C71" i="26"/>
  <c r="B132" i="26"/>
  <c r="B120" i="26"/>
  <c r="B108" i="26"/>
  <c r="B96" i="26"/>
  <c r="B84" i="26"/>
  <c r="B72" i="26"/>
  <c r="B60" i="26"/>
  <c r="B48" i="26"/>
  <c r="B36" i="26"/>
  <c r="B24" i="26"/>
  <c r="B12" i="26"/>
  <c r="C132" i="26"/>
  <c r="C120" i="26"/>
  <c r="C108" i="26"/>
  <c r="C96" i="26"/>
  <c r="C84" i="26"/>
  <c r="C72" i="26"/>
  <c r="C60" i="26"/>
  <c r="C48" i="26"/>
  <c r="C36" i="26"/>
  <c r="C24" i="26"/>
  <c r="C12" i="26"/>
  <c r="B130" i="26"/>
  <c r="B118" i="26"/>
  <c r="B106" i="26"/>
  <c r="B94" i="26"/>
  <c r="B82" i="26"/>
  <c r="B70" i="26"/>
  <c r="B58" i="26"/>
  <c r="B46" i="26"/>
  <c r="B34" i="26"/>
  <c r="B22" i="26"/>
  <c r="B10" i="26"/>
  <c r="C130" i="26"/>
  <c r="C118" i="26"/>
  <c r="C106" i="26"/>
  <c r="C94" i="26"/>
  <c r="C82" i="26"/>
  <c r="C70" i="26"/>
  <c r="C58" i="26"/>
  <c r="C46" i="26"/>
  <c r="C34" i="26"/>
  <c r="C22" i="26"/>
  <c r="C10" i="26"/>
  <c r="D130" i="26"/>
  <c r="D118" i="26"/>
  <c r="D106" i="26"/>
  <c r="D94" i="26"/>
  <c r="D82" i="26"/>
  <c r="D70" i="26"/>
  <c r="D58" i="26"/>
  <c r="D46" i="26"/>
  <c r="D34" i="26"/>
  <c r="D22" i="26"/>
  <c r="D10" i="26"/>
  <c r="B128" i="26"/>
  <c r="B116" i="26"/>
  <c r="B104" i="26"/>
  <c r="B92" i="26"/>
  <c r="B80" i="26"/>
  <c r="B68" i="26"/>
  <c r="B56" i="26"/>
  <c r="B44" i="26"/>
  <c r="B32" i="26"/>
  <c r="B20" i="26"/>
  <c r="B8" i="26"/>
  <c r="C128" i="26"/>
  <c r="C116" i="26"/>
  <c r="C104" i="26"/>
  <c r="C92" i="26"/>
  <c r="C80" i="26"/>
  <c r="C68" i="26"/>
  <c r="C56" i="26"/>
  <c r="C44" i="26"/>
  <c r="C32" i="26"/>
  <c r="C20" i="26"/>
  <c r="C8" i="26"/>
  <c r="C127" i="26"/>
  <c r="C115" i="26"/>
  <c r="C103" i="26"/>
  <c r="C91" i="26"/>
  <c r="C79" i="26"/>
  <c r="C67" i="26"/>
  <c r="C55" i="26"/>
  <c r="C43" i="26"/>
  <c r="C31" i="26"/>
  <c r="C19" i="26"/>
  <c r="C7" i="26"/>
  <c r="D128" i="26"/>
  <c r="D116" i="26"/>
  <c r="D104" i="26"/>
  <c r="D92" i="26"/>
  <c r="D80" i="26"/>
  <c r="D68" i="26"/>
  <c r="D56" i="26"/>
  <c r="D44" i="26"/>
  <c r="D32" i="26"/>
  <c r="D20" i="26"/>
  <c r="D8" i="26"/>
  <c r="B126" i="26"/>
  <c r="B114" i="26"/>
  <c r="B102" i="26"/>
  <c r="B90" i="26"/>
  <c r="B78" i="26"/>
  <c r="B66" i="26"/>
  <c r="B54" i="26"/>
  <c r="B42" i="26"/>
  <c r="B30" i="26"/>
  <c r="B18" i="26"/>
  <c r="B6" i="26"/>
  <c r="C126" i="26"/>
  <c r="C114" i="26"/>
  <c r="C102" i="26"/>
  <c r="C90" i="26"/>
  <c r="C78" i="26"/>
  <c r="C66" i="26"/>
  <c r="C54" i="26"/>
  <c r="C42" i="26"/>
  <c r="C30" i="26"/>
  <c r="C18" i="26"/>
  <c r="C6" i="26"/>
  <c r="D127" i="26"/>
  <c r="D115" i="26"/>
  <c r="D103" i="26"/>
  <c r="D91" i="26"/>
  <c r="D79" i="26"/>
  <c r="D67" i="26"/>
  <c r="D55" i="26"/>
  <c r="D43" i="26"/>
  <c r="D31" i="26"/>
  <c r="D19" i="26"/>
  <c r="D7" i="26"/>
  <c r="B5" i="26"/>
  <c r="B125" i="26"/>
  <c r="B113" i="26"/>
  <c r="B101" i="26"/>
  <c r="B89" i="26"/>
  <c r="B77" i="26"/>
  <c r="B65" i="26"/>
  <c r="B53" i="26"/>
  <c r="B41" i="26"/>
  <c r="B29" i="26"/>
  <c r="B17" i="26"/>
  <c r="C125" i="26"/>
  <c r="C113" i="26"/>
  <c r="C101" i="26"/>
  <c r="C89" i="26"/>
  <c r="C77" i="26"/>
  <c r="C65" i="26"/>
  <c r="C53" i="26"/>
  <c r="C41" i="26"/>
  <c r="C29" i="26"/>
  <c r="C17" i="26"/>
  <c r="C5" i="26"/>
  <c r="D126" i="26"/>
  <c r="D114" i="26"/>
  <c r="D102" i="26"/>
  <c r="D90" i="26"/>
  <c r="D78" i="26"/>
  <c r="D66" i="26"/>
  <c r="D54" i="26"/>
  <c r="D42" i="26"/>
  <c r="D30" i="26"/>
  <c r="D18" i="26"/>
  <c r="D6" i="26"/>
  <c r="B136" i="26"/>
  <c r="B124" i="26"/>
  <c r="B112" i="26"/>
  <c r="B100" i="26"/>
  <c r="B88" i="26"/>
  <c r="B76" i="26"/>
  <c r="B64" i="26"/>
  <c r="B52" i="26"/>
  <c r="B40" i="26"/>
  <c r="B28" i="26"/>
  <c r="B16" i="26"/>
  <c r="C136" i="26"/>
  <c r="C124" i="26"/>
  <c r="C112" i="26"/>
  <c r="C100" i="26"/>
  <c r="C88" i="26"/>
  <c r="C76" i="26"/>
  <c r="C64" i="26"/>
  <c r="C52" i="26"/>
  <c r="C40" i="26"/>
  <c r="C28" i="26"/>
  <c r="C16" i="26"/>
  <c r="D125" i="26"/>
  <c r="D113" i="26"/>
  <c r="D101" i="26"/>
  <c r="D89" i="26"/>
  <c r="D77" i="26"/>
  <c r="D65" i="26"/>
  <c r="D53" i="26"/>
  <c r="D41" i="26"/>
  <c r="D29" i="26"/>
  <c r="D17" i="26"/>
  <c r="D5" i="26"/>
  <c r="B135" i="26"/>
  <c r="B123" i="26"/>
  <c r="B111" i="26"/>
  <c r="B99" i="26"/>
  <c r="B87" i="26"/>
  <c r="B75" i="26"/>
  <c r="B63" i="26"/>
  <c r="B51" i="26"/>
  <c r="B39" i="26"/>
  <c r="B27" i="26"/>
  <c r="B15" i="26"/>
  <c r="C135" i="26"/>
  <c r="C123" i="26"/>
  <c r="C111" i="26"/>
  <c r="C99" i="26"/>
  <c r="C87" i="26"/>
  <c r="C75" i="26"/>
  <c r="C63" i="26"/>
  <c r="C51" i="26"/>
  <c r="C39" i="26"/>
  <c r="C27" i="26"/>
  <c r="C15" i="26"/>
  <c r="D136" i="26"/>
  <c r="D124" i="26"/>
  <c r="D112" i="26"/>
  <c r="D100" i="26"/>
  <c r="D88" i="26"/>
  <c r="D76" i="26"/>
  <c r="D64" i="26"/>
  <c r="D52" i="26"/>
  <c r="D40" i="26"/>
  <c r="D28" i="26"/>
  <c r="D16" i="26"/>
  <c r="B134" i="26"/>
  <c r="B122" i="26"/>
  <c r="B110" i="26"/>
  <c r="B98" i="26"/>
  <c r="B86" i="26"/>
  <c r="B74" i="26"/>
  <c r="B62" i="26"/>
  <c r="B50" i="26"/>
  <c r="B38" i="26"/>
  <c r="B26" i="26"/>
  <c r="B14" i="26"/>
  <c r="AO24" i="24"/>
  <c r="AO128" i="24"/>
  <c r="AO116" i="24"/>
  <c r="AO27" i="24"/>
  <c r="AO115" i="24"/>
  <c r="AO72" i="24"/>
  <c r="AO35" i="24"/>
  <c r="AO122" i="24"/>
  <c r="AO79" i="24"/>
  <c r="AO31" i="24"/>
  <c r="C22" i="24"/>
  <c r="AO114" i="24"/>
  <c r="AO61" i="24"/>
  <c r="AO21" i="24"/>
  <c r="AO108" i="24"/>
  <c r="AO60" i="24"/>
  <c r="AO20" i="24"/>
  <c r="AO106" i="24"/>
  <c r="AO59" i="24"/>
  <c r="AO9" i="24"/>
  <c r="AO102" i="24"/>
  <c r="AO57" i="24"/>
  <c r="AO7" i="24"/>
  <c r="AO6" i="24"/>
  <c r="AO99" i="24"/>
  <c r="AO51" i="24"/>
  <c r="AO135" i="24"/>
  <c r="AO92" i="24"/>
  <c r="AO46" i="24"/>
  <c r="AO134" i="24"/>
  <c r="AO87" i="24"/>
  <c r="AO45" i="24"/>
  <c r="AO130" i="24"/>
  <c r="AO85" i="24"/>
  <c r="AO16" i="24"/>
  <c r="AO28" i="24"/>
  <c r="AO40" i="24"/>
  <c r="AO52" i="24"/>
  <c r="AO64" i="24"/>
  <c r="AO76" i="24"/>
  <c r="AO88" i="24"/>
  <c r="AO100" i="24"/>
  <c r="AO112" i="24"/>
  <c r="AO124" i="24"/>
  <c r="AO136" i="24"/>
  <c r="AO17" i="24"/>
  <c r="AO29" i="24"/>
  <c r="AO41" i="24"/>
  <c r="AO53" i="24"/>
  <c r="AO65" i="24"/>
  <c r="AO77" i="24"/>
  <c r="AO89" i="24"/>
  <c r="AO101" i="24"/>
  <c r="AO113" i="24"/>
  <c r="AO125" i="24"/>
  <c r="AO5" i="24"/>
  <c r="AO18" i="24"/>
  <c r="AO30" i="24"/>
  <c r="AO42" i="24"/>
  <c r="AO54" i="24"/>
  <c r="AO66" i="24"/>
  <c r="AO78" i="24"/>
  <c r="AO90" i="24"/>
  <c r="AO10" i="24"/>
  <c r="AO25" i="24"/>
  <c r="AO43" i="24"/>
  <c r="AO58" i="24"/>
  <c r="AO73" i="24"/>
  <c r="AO91" i="24"/>
  <c r="AO105" i="24"/>
  <c r="AO119" i="24"/>
  <c r="AO133" i="24"/>
  <c r="AO14" i="24"/>
  <c r="AO32" i="24"/>
  <c r="AO47" i="24"/>
  <c r="AO62" i="24"/>
  <c r="AO80" i="24"/>
  <c r="AO95" i="24"/>
  <c r="AO109" i="24"/>
  <c r="AO123" i="24"/>
  <c r="AO4" i="24"/>
  <c r="AO15" i="24"/>
  <c r="AO33" i="24"/>
  <c r="AO48" i="24"/>
  <c r="AO63" i="24"/>
  <c r="AO81" i="24"/>
  <c r="AO96" i="24"/>
  <c r="AO110" i="24"/>
  <c r="AO126" i="24"/>
  <c r="AO19" i="24"/>
  <c r="AO34" i="24"/>
  <c r="AO49" i="24"/>
  <c r="AO67" i="24"/>
  <c r="AO82" i="24"/>
  <c r="AO97" i="24"/>
  <c r="AO111" i="24"/>
  <c r="AO127" i="24"/>
  <c r="AO8" i="24"/>
  <c r="AO23" i="24"/>
  <c r="AO38" i="24"/>
  <c r="AO56" i="24"/>
  <c r="AO71" i="24"/>
  <c r="AO86" i="24"/>
  <c r="AO103" i="24"/>
  <c r="AO117" i="24"/>
  <c r="AO131" i="24"/>
  <c r="AO129" i="24"/>
  <c r="AO104" i="24"/>
  <c r="AO75" i="24"/>
  <c r="AO50" i="24"/>
  <c r="AO22" i="24"/>
  <c r="AO121" i="24"/>
  <c r="AO98" i="24"/>
  <c r="AO70" i="24"/>
  <c r="AO44" i="24"/>
  <c r="AO13" i="24"/>
  <c r="AO120" i="24"/>
  <c r="AO94" i="24"/>
  <c r="AO69" i="24"/>
  <c r="AO39" i="24"/>
  <c r="AO12" i="24"/>
  <c r="C17" i="24"/>
  <c r="AO118" i="24"/>
  <c r="AO93" i="24"/>
  <c r="AO68" i="24"/>
  <c r="AO37" i="24"/>
  <c r="AO11" i="24"/>
  <c r="AO132" i="24"/>
  <c r="AO107" i="24"/>
  <c r="AO83" i="24"/>
  <c r="AO55" i="24"/>
  <c r="AO26" i="24"/>
  <c r="L9" i="24"/>
  <c r="C9" i="24"/>
  <c r="C18" i="24"/>
  <c r="C12" i="24"/>
  <c r="L20" i="24"/>
  <c r="C20" i="24"/>
  <c r="C5" i="24"/>
  <c r="C11" i="24"/>
  <c r="L14" i="24"/>
  <c r="C21" i="24"/>
  <c r="C10" i="24"/>
  <c r="C19" i="24"/>
  <c r="CC48" i="24"/>
  <c r="CD48" i="24" s="1"/>
  <c r="CC39" i="24"/>
  <c r="CD39" i="24" s="1"/>
  <c r="CC38" i="24"/>
  <c r="CD38" i="24" s="1"/>
  <c r="CC37" i="24"/>
  <c r="CD37" i="24" s="1"/>
  <c r="CC81" i="24"/>
  <c r="CD81" i="24" s="1"/>
  <c r="CC65" i="24"/>
  <c r="CD65" i="24" s="1"/>
  <c r="CC52" i="24"/>
  <c r="CD52" i="24" s="1"/>
  <c r="CC45" i="24"/>
  <c r="CD45" i="24" s="1"/>
  <c r="CC130" i="24"/>
  <c r="CD130" i="24" s="1"/>
  <c r="CC122" i="24"/>
  <c r="CD122" i="24" s="1"/>
  <c r="CC114" i="24"/>
  <c r="CD114" i="24" s="1"/>
  <c r="CC106" i="24"/>
  <c r="CD106" i="24" s="1"/>
  <c r="CC98" i="24"/>
  <c r="CD98" i="24" s="1"/>
  <c r="CC90" i="24"/>
  <c r="CD90" i="24" s="1"/>
  <c r="CC78" i="24"/>
  <c r="CD78" i="24" s="1"/>
  <c r="CC75" i="24"/>
  <c r="CD75" i="24" s="1"/>
  <c r="CC62" i="24"/>
  <c r="CD62" i="24" s="1"/>
  <c r="CC59" i="24"/>
  <c r="CD59" i="24" s="1"/>
  <c r="CC46" i="24"/>
  <c r="CD46" i="24" s="1"/>
  <c r="CC133" i="24"/>
  <c r="CD133" i="24" s="1"/>
  <c r="CC125" i="24"/>
  <c r="CD125" i="24" s="1"/>
  <c r="CC117" i="24"/>
  <c r="CD117" i="24" s="1"/>
  <c r="CC109" i="24"/>
  <c r="CD109" i="24" s="1"/>
  <c r="CC101" i="24"/>
  <c r="CD101" i="24" s="1"/>
  <c r="CC93" i="24"/>
  <c r="CD93" i="24" s="1"/>
  <c r="CC85" i="24"/>
  <c r="CD85" i="24" s="1"/>
  <c r="CC69" i="24"/>
  <c r="CD69" i="24" s="1"/>
  <c r="CC53" i="24"/>
  <c r="CD53" i="24" s="1"/>
  <c r="CC47" i="24"/>
  <c r="CD47" i="24" s="1"/>
  <c r="CC24" i="24"/>
  <c r="CD24" i="24" s="1"/>
  <c r="CC20" i="24"/>
  <c r="CD20" i="24" s="1"/>
  <c r="CC136" i="24"/>
  <c r="CD136" i="24" s="1"/>
  <c r="CC128" i="24"/>
  <c r="CD128" i="24" s="1"/>
  <c r="CC120" i="24"/>
  <c r="CD120" i="24" s="1"/>
  <c r="CC112" i="24"/>
  <c r="CD112" i="24" s="1"/>
  <c r="CC104" i="24"/>
  <c r="CD104" i="24" s="1"/>
  <c r="CC96" i="24"/>
  <c r="CD96" i="24" s="1"/>
  <c r="CC88" i="24"/>
  <c r="CD88" i="24" s="1"/>
  <c r="CC82" i="24"/>
  <c r="CD82" i="24" s="1"/>
  <c r="CC79" i="24"/>
  <c r="CD79" i="24" s="1"/>
  <c r="CC66" i="24"/>
  <c r="CD66" i="24" s="1"/>
  <c r="CC63" i="24"/>
  <c r="CD63" i="24" s="1"/>
  <c r="CC36" i="24"/>
  <c r="CD36" i="24" s="1"/>
  <c r="CC31" i="24"/>
  <c r="CD31" i="24" s="1"/>
  <c r="CC19" i="24"/>
  <c r="CD19" i="24" s="1"/>
  <c r="CC131" i="24"/>
  <c r="CD131" i="24" s="1"/>
  <c r="CC123" i="24"/>
  <c r="CD123" i="24" s="1"/>
  <c r="CC115" i="24"/>
  <c r="CD115" i="24" s="1"/>
  <c r="CC107" i="24"/>
  <c r="CD107" i="24" s="1"/>
  <c r="CC99" i="24"/>
  <c r="CD99" i="24" s="1"/>
  <c r="CC91" i="24"/>
  <c r="CD91" i="24" s="1"/>
  <c r="CC76" i="24"/>
  <c r="CD76" i="24" s="1"/>
  <c r="CC60" i="24"/>
  <c r="CD60" i="24" s="1"/>
  <c r="CC28" i="24"/>
  <c r="CD28" i="24" s="1"/>
  <c r="CC18" i="24"/>
  <c r="CD18" i="24" s="1"/>
  <c r="CC73" i="24"/>
  <c r="CD73" i="24" s="1"/>
  <c r="CC57" i="24"/>
  <c r="CD57" i="24" s="1"/>
  <c r="CC49" i="24"/>
  <c r="CD49" i="24" s="1"/>
  <c r="CC25" i="24"/>
  <c r="CD25" i="24" s="1"/>
  <c r="CC17" i="24"/>
  <c r="CD17" i="24" s="1"/>
  <c r="CC132" i="24"/>
  <c r="CD132" i="24" s="1"/>
  <c r="CC124" i="24"/>
  <c r="CD124" i="24" s="1"/>
  <c r="CC116" i="24"/>
  <c r="CD116" i="24" s="1"/>
  <c r="CC108" i="24"/>
  <c r="CD108" i="24" s="1"/>
  <c r="CC100" i="24"/>
  <c r="CD100" i="24" s="1"/>
  <c r="CC92" i="24"/>
  <c r="CD92" i="24" s="1"/>
  <c r="CC74" i="24"/>
  <c r="CD74" i="24" s="1"/>
  <c r="CC71" i="24"/>
  <c r="CD71" i="24" s="1"/>
  <c r="CC58" i="24"/>
  <c r="CD58" i="24" s="1"/>
  <c r="CC55" i="24"/>
  <c r="CD55" i="24" s="1"/>
  <c r="CC44" i="24"/>
  <c r="CD44" i="24" s="1"/>
  <c r="CC43" i="24"/>
  <c r="CD43" i="24" s="1"/>
  <c r="CC135" i="24"/>
  <c r="CD135" i="24" s="1"/>
  <c r="CC127" i="24"/>
  <c r="CD127" i="24" s="1"/>
  <c r="CC119" i="24"/>
  <c r="CD119" i="24" s="1"/>
  <c r="CC111" i="24"/>
  <c r="CD111" i="24" s="1"/>
  <c r="CC103" i="24"/>
  <c r="CD103" i="24" s="1"/>
  <c r="CC95" i="24"/>
  <c r="CD95" i="24" s="1"/>
  <c r="CC87" i="24"/>
  <c r="CD87" i="24" s="1"/>
  <c r="CC84" i="24"/>
  <c r="CD84" i="24" s="1"/>
  <c r="CC68" i="24"/>
  <c r="CD68" i="24" s="1"/>
  <c r="CC56" i="24"/>
  <c r="CD56" i="24" s="1"/>
  <c r="CC6" i="24"/>
  <c r="CD6" i="24" s="1"/>
  <c r="CC121" i="24"/>
  <c r="CD121" i="24" s="1"/>
  <c r="CC33" i="24"/>
  <c r="CD33" i="24" s="1"/>
  <c r="CC113" i="24"/>
  <c r="CD113" i="24" s="1"/>
  <c r="CC72" i="24"/>
  <c r="CD72" i="24" s="1"/>
  <c r="CC41" i="24"/>
  <c r="CD41" i="24" s="1"/>
  <c r="CC35" i="24"/>
  <c r="CD35" i="24" s="1"/>
  <c r="CC30" i="24"/>
  <c r="CD30" i="24" s="1"/>
  <c r="CC14" i="24"/>
  <c r="CD14" i="24" s="1"/>
  <c r="CC134" i="24"/>
  <c r="CD134" i="24" s="1"/>
  <c r="CC126" i="24"/>
  <c r="CD126" i="24" s="1"/>
  <c r="CC118" i="24"/>
  <c r="CD118" i="24" s="1"/>
  <c r="CC110" i="24"/>
  <c r="CD110" i="24" s="1"/>
  <c r="CC102" i="24"/>
  <c r="CD102" i="24" s="1"/>
  <c r="CC94" i="24"/>
  <c r="CD94" i="24" s="1"/>
  <c r="CC86" i="24"/>
  <c r="CD86" i="24" s="1"/>
  <c r="CC21" i="24"/>
  <c r="CD21" i="24" s="1"/>
  <c r="CC51" i="24"/>
  <c r="CD51" i="24" s="1"/>
  <c r="CC40" i="24"/>
  <c r="CD40" i="24" s="1"/>
  <c r="CC8" i="24"/>
  <c r="CD8" i="24" s="1"/>
  <c r="CC129" i="24"/>
  <c r="CD129" i="24" s="1"/>
  <c r="CC97" i="24"/>
  <c r="CD97" i="24" s="1"/>
  <c r="CC34" i="24"/>
  <c r="CD34" i="24" s="1"/>
  <c r="CC67" i="24"/>
  <c r="CD67" i="24" s="1"/>
  <c r="CC64" i="24"/>
  <c r="CD64" i="24" s="1"/>
  <c r="CC54" i="24"/>
  <c r="CD54" i="24" s="1"/>
  <c r="CC15" i="24"/>
  <c r="CD15" i="24" s="1"/>
  <c r="CC7" i="24"/>
  <c r="CD7" i="24" s="1"/>
  <c r="CC105" i="24"/>
  <c r="CD105" i="24" s="1"/>
  <c r="CC70" i="24"/>
  <c r="CD70" i="24" s="1"/>
  <c r="CC42" i="24"/>
  <c r="CD42" i="24" s="1"/>
  <c r="CC32" i="24"/>
  <c r="CD32" i="24" s="1"/>
  <c r="CC61" i="24"/>
  <c r="CD61" i="24" s="1"/>
  <c r="CC27" i="24"/>
  <c r="CD27" i="24" s="1"/>
  <c r="CC89" i="24"/>
  <c r="CD89" i="24" s="1"/>
  <c r="CC77" i="24"/>
  <c r="CD77" i="24" s="1"/>
  <c r="CC9" i="24"/>
  <c r="CD9" i="24" s="1"/>
  <c r="CC4" i="24"/>
  <c r="CC80" i="24"/>
  <c r="CD80" i="24" s="1"/>
  <c r="CC29" i="24"/>
  <c r="CD29" i="24" s="1"/>
  <c r="CC16" i="24"/>
  <c r="CD16" i="24" s="1"/>
  <c r="CC10" i="24"/>
  <c r="CD10" i="24" s="1"/>
  <c r="CC5" i="24"/>
  <c r="CD5" i="24" s="1"/>
  <c r="CC23" i="24"/>
  <c r="CD23" i="24" s="1"/>
  <c r="CC13" i="24"/>
  <c r="CD13" i="24" s="1"/>
  <c r="CC26" i="24"/>
  <c r="CD26" i="24" s="1"/>
  <c r="CC11" i="24"/>
  <c r="CD11" i="24" s="1"/>
  <c r="CC83" i="24"/>
  <c r="CD83" i="24" s="1"/>
  <c r="CC22" i="24"/>
  <c r="CD22" i="24" s="1"/>
  <c r="CC12" i="24"/>
  <c r="CD12" i="24" s="1"/>
  <c r="CC50" i="24"/>
  <c r="CD50" i="24" s="1"/>
  <c r="C13" i="24"/>
  <c r="C14" i="24"/>
  <c r="C8" i="24"/>
  <c r="C15" i="24"/>
  <c r="BC70" i="24" l="1"/>
  <c r="AC5" i="24"/>
  <c r="AC17" i="24"/>
  <c r="AC29" i="24"/>
  <c r="AC41" i="24"/>
  <c r="AC53" i="24"/>
  <c r="AC65" i="24"/>
  <c r="AC77" i="24"/>
  <c r="AC89" i="24"/>
  <c r="K89" i="25" s="1"/>
  <c r="AC101" i="24"/>
  <c r="AC113" i="24"/>
  <c r="AC125" i="24"/>
  <c r="K125" i="25" s="1"/>
  <c r="AC4" i="24"/>
  <c r="K4" i="25" s="1"/>
  <c r="AC6" i="24"/>
  <c r="AC18" i="24"/>
  <c r="AC30" i="24"/>
  <c r="AC42" i="24"/>
  <c r="AC54" i="24"/>
  <c r="AC66" i="24"/>
  <c r="AC78" i="24"/>
  <c r="K78" i="25" s="1"/>
  <c r="AC90" i="24"/>
  <c r="AC102" i="24"/>
  <c r="AC114" i="24"/>
  <c r="AC126" i="24"/>
  <c r="K126" i="25" s="1"/>
  <c r="AC8" i="24"/>
  <c r="AC20" i="24"/>
  <c r="AC32" i="24"/>
  <c r="AC44" i="24"/>
  <c r="AC56" i="24"/>
  <c r="AC68" i="24"/>
  <c r="AC80" i="24"/>
  <c r="AC92" i="24"/>
  <c r="K92" i="25" s="1"/>
  <c r="AC104" i="24"/>
  <c r="K104" i="25" s="1"/>
  <c r="AC116" i="24"/>
  <c r="AC128" i="24"/>
  <c r="AC9" i="24"/>
  <c r="K9" i="25" s="1"/>
  <c r="AC21" i="24"/>
  <c r="K21" i="25" s="1"/>
  <c r="AC33" i="24"/>
  <c r="AC45" i="24"/>
  <c r="AC57" i="24"/>
  <c r="AC69" i="24"/>
  <c r="AC81" i="24"/>
  <c r="AC93" i="24"/>
  <c r="AC105" i="24"/>
  <c r="K105" i="25" s="1"/>
  <c r="AC117" i="24"/>
  <c r="K117" i="25" s="1"/>
  <c r="AC129" i="24"/>
  <c r="AC10" i="24"/>
  <c r="AC22" i="24"/>
  <c r="AC34" i="24"/>
  <c r="K34" i="25" s="1"/>
  <c r="AC46" i="24"/>
  <c r="AC58" i="24"/>
  <c r="AC70" i="24"/>
  <c r="AC82" i="24"/>
  <c r="AC94" i="24"/>
  <c r="AC106" i="24"/>
  <c r="AC118" i="24"/>
  <c r="K118" i="25" s="1"/>
  <c r="AC130" i="24"/>
  <c r="K130" i="25" s="1"/>
  <c r="AC11" i="24"/>
  <c r="AC23" i="24"/>
  <c r="AC35" i="24"/>
  <c r="K35" i="25" s="1"/>
  <c r="AC47" i="24"/>
  <c r="K47" i="25" s="1"/>
  <c r="AC59" i="24"/>
  <c r="AC71" i="24"/>
  <c r="AC83" i="24"/>
  <c r="AC95" i="24"/>
  <c r="AC107" i="24"/>
  <c r="AC119" i="24"/>
  <c r="AC131" i="24"/>
  <c r="K131" i="25" s="1"/>
  <c r="AC12" i="24"/>
  <c r="K12" i="25" s="1"/>
  <c r="AC24" i="24"/>
  <c r="AC36" i="24"/>
  <c r="AC48" i="24"/>
  <c r="K48" i="25" s="1"/>
  <c r="AC60" i="24"/>
  <c r="K60" i="25" s="1"/>
  <c r="AC72" i="24"/>
  <c r="AC84" i="24"/>
  <c r="AC96" i="24"/>
  <c r="AC108" i="24"/>
  <c r="AC120" i="24"/>
  <c r="AC132" i="24"/>
  <c r="AC14" i="24"/>
  <c r="K14" i="25" s="1"/>
  <c r="AC26" i="24"/>
  <c r="K26" i="25" s="1"/>
  <c r="AC38" i="24"/>
  <c r="AC50" i="24"/>
  <c r="AC62" i="24"/>
  <c r="K62" i="25" s="1"/>
  <c r="AC74" i="24"/>
  <c r="K74" i="25" s="1"/>
  <c r="AC86" i="24"/>
  <c r="AC98" i="24"/>
  <c r="AC110" i="24"/>
  <c r="AC122" i="24"/>
  <c r="AC134" i="24"/>
  <c r="AC16" i="24"/>
  <c r="AC52" i="24"/>
  <c r="AC88" i="24"/>
  <c r="K88" i="25" s="1"/>
  <c r="AC124" i="24"/>
  <c r="AC19" i="24"/>
  <c r="AC55" i="24"/>
  <c r="K55" i="25" s="1"/>
  <c r="AC91" i="24"/>
  <c r="K91" i="25" s="1"/>
  <c r="AC127" i="24"/>
  <c r="AC25" i="24"/>
  <c r="AC61" i="24"/>
  <c r="AC97" i="24"/>
  <c r="AC133" i="24"/>
  <c r="AC27" i="24"/>
  <c r="AC63" i="24"/>
  <c r="K63" i="25" s="1"/>
  <c r="AC99" i="24"/>
  <c r="K99" i="25" s="1"/>
  <c r="AC135" i="24"/>
  <c r="AC28" i="24"/>
  <c r="AC64" i="24"/>
  <c r="K64" i="25" s="1"/>
  <c r="AC100" i="24"/>
  <c r="K100" i="25" s="1"/>
  <c r="AC136" i="24"/>
  <c r="AC31" i="24"/>
  <c r="AC67" i="24"/>
  <c r="AC103" i="24"/>
  <c r="AC37" i="24"/>
  <c r="AC73" i="24"/>
  <c r="AC109" i="24"/>
  <c r="K109" i="25" s="1"/>
  <c r="AC39" i="24"/>
  <c r="K39" i="25" s="1"/>
  <c r="AC75" i="24"/>
  <c r="AC111" i="24"/>
  <c r="AC40" i="24"/>
  <c r="AC76" i="24"/>
  <c r="K76" i="25" s="1"/>
  <c r="AC112" i="24"/>
  <c r="AC7" i="24"/>
  <c r="AC43" i="24"/>
  <c r="AC79" i="24"/>
  <c r="AC115" i="24"/>
  <c r="AC121" i="24"/>
  <c r="AC123" i="24"/>
  <c r="K123" i="25" s="1"/>
  <c r="AC13" i="24"/>
  <c r="K13" i="25" s="1"/>
  <c r="AC87" i="24"/>
  <c r="AC15" i="24"/>
  <c r="AC51" i="24"/>
  <c r="K51" i="25" s="1"/>
  <c r="AC85" i="24"/>
  <c r="K85" i="25" s="1"/>
  <c r="AC49" i="24"/>
  <c r="AG5" i="24"/>
  <c r="AG17" i="24"/>
  <c r="AG29" i="24"/>
  <c r="AG41" i="24"/>
  <c r="AG53" i="24"/>
  <c r="AG65" i="24"/>
  <c r="O65" i="25" s="1"/>
  <c r="AG77" i="24"/>
  <c r="O77" i="25" s="1"/>
  <c r="AG89" i="24"/>
  <c r="AG101" i="24"/>
  <c r="AG113" i="24"/>
  <c r="O113" i="25" s="1"/>
  <c r="AG125" i="24"/>
  <c r="O125" i="25" s="1"/>
  <c r="AG4" i="24"/>
  <c r="AG7" i="24"/>
  <c r="AG19" i="24"/>
  <c r="AG31" i="24"/>
  <c r="AG43" i="24"/>
  <c r="AG55" i="24"/>
  <c r="AG67" i="24"/>
  <c r="O67" i="25" s="1"/>
  <c r="AG79" i="24"/>
  <c r="O79" i="25" s="1"/>
  <c r="AG91" i="24"/>
  <c r="AG103" i="24"/>
  <c r="AG115" i="24"/>
  <c r="O115" i="25" s="1"/>
  <c r="AG127" i="24"/>
  <c r="O127" i="25" s="1"/>
  <c r="AG8" i="24"/>
  <c r="AG20" i="24"/>
  <c r="AG32" i="24"/>
  <c r="AG44" i="24"/>
  <c r="AG56" i="24"/>
  <c r="AG68" i="24"/>
  <c r="AG80" i="24"/>
  <c r="O80" i="25" s="1"/>
  <c r="AG92" i="24"/>
  <c r="O92" i="25" s="1"/>
  <c r="AG104" i="24"/>
  <c r="AG116" i="24"/>
  <c r="AG128" i="24"/>
  <c r="O128" i="25" s="1"/>
  <c r="AG9" i="24"/>
  <c r="O9" i="25" s="1"/>
  <c r="AG21" i="24"/>
  <c r="AG33" i="24"/>
  <c r="AG45" i="24"/>
  <c r="AG57" i="24"/>
  <c r="AG69" i="24"/>
  <c r="AG81" i="24"/>
  <c r="AG93" i="24"/>
  <c r="AG105" i="24"/>
  <c r="O105" i="25" s="1"/>
  <c r="AG117" i="24"/>
  <c r="AG129" i="24"/>
  <c r="AG10" i="24"/>
  <c r="O10" i="25" s="1"/>
  <c r="AG22" i="24"/>
  <c r="O22" i="25" s="1"/>
  <c r="AG34" i="24"/>
  <c r="AG46" i="24"/>
  <c r="AG58" i="24"/>
  <c r="AG70" i="24"/>
  <c r="AG82" i="24"/>
  <c r="AG94" i="24"/>
  <c r="AG106" i="24"/>
  <c r="O106" i="25" s="1"/>
  <c r="AG118" i="24"/>
  <c r="O118" i="25" s="1"/>
  <c r="AG130" i="24"/>
  <c r="AG11" i="24"/>
  <c r="AG23" i="24"/>
  <c r="O23" i="25" s="1"/>
  <c r="AG35" i="24"/>
  <c r="O35" i="25" s="1"/>
  <c r="AG47" i="24"/>
  <c r="AG59" i="24"/>
  <c r="AG71" i="24"/>
  <c r="AG83" i="24"/>
  <c r="AG95" i="24"/>
  <c r="AG107" i="24"/>
  <c r="AG119" i="24"/>
  <c r="O119" i="25" s="1"/>
  <c r="AG131" i="24"/>
  <c r="O131" i="25" s="1"/>
  <c r="AG12" i="24"/>
  <c r="AG24" i="24"/>
  <c r="AG36" i="24"/>
  <c r="O36" i="25" s="1"/>
  <c r="AG48" i="24"/>
  <c r="O48" i="25" s="1"/>
  <c r="AG60" i="24"/>
  <c r="AG72" i="24"/>
  <c r="AG84" i="24"/>
  <c r="AG96" i="24"/>
  <c r="AG108" i="24"/>
  <c r="AG120" i="24"/>
  <c r="AG132" i="24"/>
  <c r="O132" i="25" s="1"/>
  <c r="AG28" i="24"/>
  <c r="O28" i="25" s="1"/>
  <c r="AG61" i="24"/>
  <c r="AG87" i="24"/>
  <c r="AG114" i="24"/>
  <c r="O114" i="25" s="1"/>
  <c r="AG30" i="24"/>
  <c r="AG62" i="24"/>
  <c r="AG88" i="24"/>
  <c r="AG121" i="24"/>
  <c r="AG6" i="24"/>
  <c r="AG38" i="24"/>
  <c r="AG64" i="24"/>
  <c r="AG97" i="24"/>
  <c r="O97" i="25" s="1"/>
  <c r="AG123" i="24"/>
  <c r="O123" i="25" s="1"/>
  <c r="AG13" i="24"/>
  <c r="AG39" i="24"/>
  <c r="AG66" i="24"/>
  <c r="O66" i="25" s="1"/>
  <c r="AG98" i="24"/>
  <c r="O98" i="25" s="1"/>
  <c r="AG124" i="24"/>
  <c r="AG14" i="24"/>
  <c r="AG40" i="24"/>
  <c r="AG73" i="24"/>
  <c r="AG99" i="24"/>
  <c r="AG126" i="24"/>
  <c r="AG15" i="24"/>
  <c r="O15" i="25" s="1"/>
  <c r="AG42" i="24"/>
  <c r="O42" i="25" s="1"/>
  <c r="AG74" i="24"/>
  <c r="AG100" i="24"/>
  <c r="AG133" i="24"/>
  <c r="O133" i="25" s="1"/>
  <c r="AG16" i="24"/>
  <c r="O16" i="25" s="1"/>
  <c r="AG49" i="24"/>
  <c r="AG75" i="24"/>
  <c r="AG102" i="24"/>
  <c r="AG134" i="24"/>
  <c r="AG18" i="24"/>
  <c r="AG50" i="24"/>
  <c r="AG76" i="24"/>
  <c r="O76" i="25" s="1"/>
  <c r="AG109" i="24"/>
  <c r="O109" i="25" s="1"/>
  <c r="AG25" i="24"/>
  <c r="AG51" i="24"/>
  <c r="AG78" i="24"/>
  <c r="O78" i="25" s="1"/>
  <c r="AG110" i="24"/>
  <c r="O110" i="25" s="1"/>
  <c r="AG136" i="24"/>
  <c r="AG37" i="24"/>
  <c r="AG52" i="24"/>
  <c r="AG54" i="24"/>
  <c r="AG63" i="24"/>
  <c r="AG85" i="24"/>
  <c r="AG86" i="24"/>
  <c r="O86" i="25" s="1"/>
  <c r="AG90" i="24"/>
  <c r="AG111" i="24"/>
  <c r="AG112" i="24"/>
  <c r="AG122" i="24"/>
  <c r="O122" i="25" s="1"/>
  <c r="AG26" i="24"/>
  <c r="O26" i="25" s="1"/>
  <c r="AG27" i="24"/>
  <c r="AG135" i="24"/>
  <c r="AB16" i="24"/>
  <c r="AB28" i="24"/>
  <c r="AB40" i="24"/>
  <c r="AB52" i="24"/>
  <c r="AB64" i="24"/>
  <c r="J64" i="25" s="1"/>
  <c r="AB76" i="24"/>
  <c r="J76" i="25" s="1"/>
  <c r="AB88" i="24"/>
  <c r="AB100" i="24"/>
  <c r="AB112" i="24"/>
  <c r="J112" i="25" s="1"/>
  <c r="AB124" i="24"/>
  <c r="J124" i="25" s="1"/>
  <c r="AB5" i="24"/>
  <c r="AB17" i="24"/>
  <c r="AB29" i="24"/>
  <c r="AB41" i="24"/>
  <c r="AB53" i="24"/>
  <c r="AB65" i="24"/>
  <c r="AB77" i="24"/>
  <c r="J77" i="25" s="1"/>
  <c r="AB89" i="24"/>
  <c r="J89" i="25" s="1"/>
  <c r="AB101" i="24"/>
  <c r="AB113" i="24"/>
  <c r="AB125" i="24"/>
  <c r="J125" i="25" s="1"/>
  <c r="AB4" i="24"/>
  <c r="J4" i="25" s="1"/>
  <c r="AB7" i="24"/>
  <c r="AB19" i="24"/>
  <c r="AB31" i="24"/>
  <c r="AB43" i="24"/>
  <c r="AB55" i="24"/>
  <c r="AB67" i="24"/>
  <c r="AB79" i="24"/>
  <c r="J79" i="25" s="1"/>
  <c r="AB91" i="24"/>
  <c r="J91" i="25" s="1"/>
  <c r="AB103" i="24"/>
  <c r="AB115" i="24"/>
  <c r="AB127" i="24"/>
  <c r="J127" i="25" s="1"/>
  <c r="AB8" i="24"/>
  <c r="J8" i="25" s="1"/>
  <c r="AB20" i="24"/>
  <c r="AB32" i="24"/>
  <c r="AB44" i="24"/>
  <c r="AB56" i="24"/>
  <c r="AB68" i="24"/>
  <c r="AB80" i="24"/>
  <c r="AB92" i="24"/>
  <c r="J92" i="25" s="1"/>
  <c r="AB104" i="24"/>
  <c r="J104" i="25" s="1"/>
  <c r="AB116" i="24"/>
  <c r="AB128" i="24"/>
  <c r="AB9" i="24"/>
  <c r="J9" i="25" s="1"/>
  <c r="AB21" i="24"/>
  <c r="J21" i="25" s="1"/>
  <c r="AB33" i="24"/>
  <c r="AB45" i="24"/>
  <c r="AB57" i="24"/>
  <c r="AB69" i="24"/>
  <c r="AB81" i="24"/>
  <c r="AB93" i="24"/>
  <c r="AB105" i="24"/>
  <c r="J105" i="25" s="1"/>
  <c r="AB117" i="24"/>
  <c r="J117" i="25" s="1"/>
  <c r="AB129" i="24"/>
  <c r="AB10" i="24"/>
  <c r="AB22" i="24"/>
  <c r="J22" i="25" s="1"/>
  <c r="AB34" i="24"/>
  <c r="J34" i="25" s="1"/>
  <c r="AB46" i="24"/>
  <c r="AB58" i="24"/>
  <c r="AB70" i="24"/>
  <c r="AB82" i="24"/>
  <c r="AB94" i="24"/>
  <c r="AB106" i="24"/>
  <c r="AB118" i="24"/>
  <c r="J118" i="25" s="1"/>
  <c r="AB130" i="24"/>
  <c r="J130" i="25" s="1"/>
  <c r="AB11" i="24"/>
  <c r="AB23" i="24"/>
  <c r="AB35" i="24"/>
  <c r="AB47" i="24"/>
  <c r="J47" i="25" s="1"/>
  <c r="AB59" i="24"/>
  <c r="AB71" i="24"/>
  <c r="AB83" i="24"/>
  <c r="AB95" i="24"/>
  <c r="AB107" i="24"/>
  <c r="AB119" i="24"/>
  <c r="AB131" i="24"/>
  <c r="J131" i="25" s="1"/>
  <c r="AB13" i="24"/>
  <c r="J13" i="25" s="1"/>
  <c r="AB25" i="24"/>
  <c r="AB37" i="24"/>
  <c r="AB49" i="24"/>
  <c r="J49" i="25" s="1"/>
  <c r="AB61" i="24"/>
  <c r="J61" i="25" s="1"/>
  <c r="AB73" i="24"/>
  <c r="AB85" i="24"/>
  <c r="AB97" i="24"/>
  <c r="AB109" i="24"/>
  <c r="AB121" i="24"/>
  <c r="AB133" i="24"/>
  <c r="AB27" i="24"/>
  <c r="AB63" i="24"/>
  <c r="J63" i="25" s="1"/>
  <c r="AB99" i="24"/>
  <c r="AB135" i="24"/>
  <c r="AB30" i="24"/>
  <c r="J30" i="25" s="1"/>
  <c r="AB66" i="24"/>
  <c r="J66" i="25" s="1"/>
  <c r="AB102" i="24"/>
  <c r="AB136" i="24"/>
  <c r="AB36" i="24"/>
  <c r="AB72" i="24"/>
  <c r="AB108" i="24"/>
  <c r="AB38" i="24"/>
  <c r="AB74" i="24"/>
  <c r="AB110" i="24"/>
  <c r="J110" i="25" s="1"/>
  <c r="AB39" i="24"/>
  <c r="AB75" i="24"/>
  <c r="AB111" i="24"/>
  <c r="J111" i="25" s="1"/>
  <c r="AB6" i="24"/>
  <c r="J6" i="25" s="1"/>
  <c r="AB42" i="24"/>
  <c r="AB78" i="24"/>
  <c r="AB114" i="24"/>
  <c r="AB12" i="24"/>
  <c r="AB48" i="24"/>
  <c r="AB84" i="24"/>
  <c r="AB120" i="24"/>
  <c r="J120" i="25" s="1"/>
  <c r="AB14" i="24"/>
  <c r="J14" i="25" s="1"/>
  <c r="AB50" i="24"/>
  <c r="AB86" i="24"/>
  <c r="AB122" i="24"/>
  <c r="J122" i="25" s="1"/>
  <c r="AB15" i="24"/>
  <c r="J15" i="25" s="1"/>
  <c r="AB51" i="24"/>
  <c r="AB87" i="24"/>
  <c r="AB123" i="24"/>
  <c r="AB18" i="24"/>
  <c r="AB54" i="24"/>
  <c r="AB90" i="24"/>
  <c r="AB126" i="24"/>
  <c r="J126" i="25" s="1"/>
  <c r="AB26" i="24"/>
  <c r="J26" i="25" s="1"/>
  <c r="AB60" i="24"/>
  <c r="AB62" i="24"/>
  <c r="AB96" i="24"/>
  <c r="J96" i="25" s="1"/>
  <c r="AB134" i="24"/>
  <c r="AB98" i="24"/>
  <c r="AB24" i="24"/>
  <c r="AB132" i="24"/>
  <c r="X5" i="24"/>
  <c r="X17" i="24"/>
  <c r="X29" i="24"/>
  <c r="X41" i="24"/>
  <c r="F41" i="25" s="1"/>
  <c r="X53" i="24"/>
  <c r="F53" i="25" s="1"/>
  <c r="X65" i="24"/>
  <c r="X77" i="24"/>
  <c r="X89" i="24"/>
  <c r="F89" i="25" s="1"/>
  <c r="X101" i="24"/>
  <c r="F101" i="25" s="1"/>
  <c r="X113" i="24"/>
  <c r="X125" i="24"/>
  <c r="X4" i="24"/>
  <c r="X6" i="24"/>
  <c r="X18" i="24"/>
  <c r="X30" i="24"/>
  <c r="X42" i="24"/>
  <c r="F42" i="25" s="1"/>
  <c r="X54" i="24"/>
  <c r="F54" i="25" s="1"/>
  <c r="X66" i="24"/>
  <c r="X78" i="24"/>
  <c r="X90" i="24"/>
  <c r="F90" i="25" s="1"/>
  <c r="X102" i="24"/>
  <c r="F102" i="25" s="1"/>
  <c r="X114" i="24"/>
  <c r="X126" i="24"/>
  <c r="X7" i="24"/>
  <c r="X19" i="24"/>
  <c r="X31" i="24"/>
  <c r="X43" i="24"/>
  <c r="X55" i="24"/>
  <c r="F55" i="25" s="1"/>
  <c r="X67" i="24"/>
  <c r="F67" i="25" s="1"/>
  <c r="X79" i="24"/>
  <c r="X91" i="24"/>
  <c r="X103" i="24"/>
  <c r="F103" i="25" s="1"/>
  <c r="X115" i="24"/>
  <c r="X127" i="24"/>
  <c r="X8" i="24"/>
  <c r="X20" i="24"/>
  <c r="X32" i="24"/>
  <c r="X44" i="24"/>
  <c r="X56" i="24"/>
  <c r="X68" i="24"/>
  <c r="F68" i="25" s="1"/>
  <c r="X80" i="24"/>
  <c r="F80" i="25" s="1"/>
  <c r="X92" i="24"/>
  <c r="X104" i="24"/>
  <c r="X116" i="24"/>
  <c r="X128" i="24"/>
  <c r="F128" i="25" s="1"/>
  <c r="X9" i="24"/>
  <c r="X21" i="24"/>
  <c r="X33" i="24"/>
  <c r="X45" i="24"/>
  <c r="X57" i="24"/>
  <c r="X69" i="24"/>
  <c r="X81" i="24"/>
  <c r="F81" i="25" s="1"/>
  <c r="X93" i="24"/>
  <c r="F93" i="25" s="1"/>
  <c r="X105" i="24"/>
  <c r="X117" i="24"/>
  <c r="X129" i="24"/>
  <c r="F129" i="25" s="1"/>
  <c r="X10" i="24"/>
  <c r="F10" i="25" s="1"/>
  <c r="X22" i="24"/>
  <c r="X34" i="24"/>
  <c r="X46" i="24"/>
  <c r="X58" i="24"/>
  <c r="X70" i="24"/>
  <c r="X82" i="24"/>
  <c r="X94" i="24"/>
  <c r="F94" i="25" s="1"/>
  <c r="X106" i="24"/>
  <c r="F106" i="25" s="1"/>
  <c r="X118" i="24"/>
  <c r="X130" i="24"/>
  <c r="X11" i="24"/>
  <c r="F11" i="25" s="1"/>
  <c r="X23" i="24"/>
  <c r="F23" i="25" s="1"/>
  <c r="X35" i="24"/>
  <c r="X47" i="24"/>
  <c r="X59" i="24"/>
  <c r="X71" i="24"/>
  <c r="X83" i="24"/>
  <c r="X12" i="24"/>
  <c r="X24" i="24"/>
  <c r="F24" i="25" s="1"/>
  <c r="X36" i="24"/>
  <c r="X48" i="24"/>
  <c r="X60" i="24"/>
  <c r="X72" i="24"/>
  <c r="F72" i="25" s="1"/>
  <c r="X84" i="24"/>
  <c r="F84" i="25" s="1"/>
  <c r="X96" i="24"/>
  <c r="X108" i="24"/>
  <c r="X120" i="24"/>
  <c r="X132" i="24"/>
  <c r="X13" i="24"/>
  <c r="X25" i="24"/>
  <c r="X37" i="24"/>
  <c r="F37" i="25" s="1"/>
  <c r="X49" i="24"/>
  <c r="F49" i="25" s="1"/>
  <c r="X61" i="24"/>
  <c r="X73" i="24"/>
  <c r="X85" i="24"/>
  <c r="F85" i="25" s="1"/>
  <c r="X97" i="24"/>
  <c r="F97" i="25" s="1"/>
  <c r="X109" i="24"/>
  <c r="X121" i="24"/>
  <c r="X133" i="24"/>
  <c r="X14" i="24"/>
  <c r="X26" i="24"/>
  <c r="X38" i="24"/>
  <c r="X50" i="24"/>
  <c r="F50" i="25" s="1"/>
  <c r="X62" i="24"/>
  <c r="X74" i="24"/>
  <c r="X86" i="24"/>
  <c r="X98" i="24"/>
  <c r="F98" i="25" s="1"/>
  <c r="X110" i="24"/>
  <c r="F110" i="25" s="1"/>
  <c r="X122" i="24"/>
  <c r="X134" i="24"/>
  <c r="X76" i="24"/>
  <c r="X131" i="24"/>
  <c r="X15" i="24"/>
  <c r="X87" i="24"/>
  <c r="X135" i="24"/>
  <c r="X16" i="24"/>
  <c r="F16" i="25" s="1"/>
  <c r="X88" i="24"/>
  <c r="X136" i="24"/>
  <c r="X27" i="24"/>
  <c r="F27" i="25" s="1"/>
  <c r="X95" i="24"/>
  <c r="F95" i="25" s="1"/>
  <c r="X107" i="24"/>
  <c r="X51" i="24"/>
  <c r="X111" i="24"/>
  <c r="X52" i="24"/>
  <c r="X119" i="24"/>
  <c r="X64" i="24"/>
  <c r="X123" i="24"/>
  <c r="X75" i="24"/>
  <c r="F75" i="25" s="1"/>
  <c r="X28" i="24"/>
  <c r="X99" i="24"/>
  <c r="X40" i="24"/>
  <c r="F40" i="25" s="1"/>
  <c r="X112" i="24"/>
  <c r="F112" i="25" s="1"/>
  <c r="X63" i="24"/>
  <c r="X124" i="24"/>
  <c r="X39" i="24"/>
  <c r="X100" i="24"/>
  <c r="AF16" i="24"/>
  <c r="AF28" i="24"/>
  <c r="AF40" i="24"/>
  <c r="N40" i="25" s="1"/>
  <c r="AF52" i="24"/>
  <c r="N52" i="25" s="1"/>
  <c r="AF64" i="24"/>
  <c r="AF76" i="24"/>
  <c r="AF88" i="24"/>
  <c r="N88" i="25" s="1"/>
  <c r="AF100" i="24"/>
  <c r="N100" i="25" s="1"/>
  <c r="AF112" i="24"/>
  <c r="AF124" i="24"/>
  <c r="AF4" i="24"/>
  <c r="AF6" i="24"/>
  <c r="AF18" i="24"/>
  <c r="AF30" i="24"/>
  <c r="AF42" i="24"/>
  <c r="N42" i="25" s="1"/>
  <c r="AF54" i="24"/>
  <c r="N54" i="25" s="1"/>
  <c r="AF66" i="24"/>
  <c r="AF78" i="24"/>
  <c r="AF90" i="24"/>
  <c r="N90" i="25" s="1"/>
  <c r="AF102" i="24"/>
  <c r="N102" i="25" s="1"/>
  <c r="AF114" i="24"/>
  <c r="AF126" i="24"/>
  <c r="AF7" i="24"/>
  <c r="AF19" i="24"/>
  <c r="AF31" i="24"/>
  <c r="AF43" i="24"/>
  <c r="AF55" i="24"/>
  <c r="N55" i="25" s="1"/>
  <c r="AF67" i="24"/>
  <c r="AF79" i="24"/>
  <c r="AF91" i="24"/>
  <c r="AF103" i="24"/>
  <c r="N103" i="25" s="1"/>
  <c r="AF115" i="24"/>
  <c r="N115" i="25" s="1"/>
  <c r="AF127" i="24"/>
  <c r="AF8" i="24"/>
  <c r="AF20" i="24"/>
  <c r="AF32" i="24"/>
  <c r="AF44" i="24"/>
  <c r="AF56" i="24"/>
  <c r="AF68" i="24"/>
  <c r="N68" i="25" s="1"/>
  <c r="AF80" i="24"/>
  <c r="N80" i="25" s="1"/>
  <c r="AF92" i="24"/>
  <c r="AF104" i="24"/>
  <c r="AF116" i="24"/>
  <c r="N116" i="25" s="1"/>
  <c r="AF128" i="24"/>
  <c r="N128" i="25" s="1"/>
  <c r="AF9" i="24"/>
  <c r="AF21" i="24"/>
  <c r="AF33" i="24"/>
  <c r="AF45" i="24"/>
  <c r="AF57" i="24"/>
  <c r="AF69" i="24"/>
  <c r="AF81" i="24"/>
  <c r="N81" i="25" s="1"/>
  <c r="AF93" i="24"/>
  <c r="N93" i="25" s="1"/>
  <c r="AF105" i="24"/>
  <c r="AF117" i="24"/>
  <c r="AF129" i="24"/>
  <c r="N129" i="25" s="1"/>
  <c r="AF10" i="24"/>
  <c r="N10" i="25" s="1"/>
  <c r="AF22" i="24"/>
  <c r="AF34" i="24"/>
  <c r="AF46" i="24"/>
  <c r="AF58" i="24"/>
  <c r="AF70" i="24"/>
  <c r="AF82" i="24"/>
  <c r="AF94" i="24"/>
  <c r="AF106" i="24"/>
  <c r="N106" i="25" s="1"/>
  <c r="AF118" i="24"/>
  <c r="AF130" i="24"/>
  <c r="AF11" i="24"/>
  <c r="N11" i="25" s="1"/>
  <c r="AF23" i="24"/>
  <c r="N23" i="25" s="1"/>
  <c r="AF35" i="24"/>
  <c r="AF47" i="24"/>
  <c r="AF59" i="24"/>
  <c r="AF71" i="24"/>
  <c r="AF83" i="24"/>
  <c r="AF95" i="24"/>
  <c r="AF107" i="24"/>
  <c r="AF119" i="24"/>
  <c r="AF131" i="24"/>
  <c r="AF13" i="24"/>
  <c r="AF39" i="24"/>
  <c r="AF72" i="24"/>
  <c r="N72" i="25" s="1"/>
  <c r="AF98" i="24"/>
  <c r="AF125" i="24"/>
  <c r="AF14" i="24"/>
  <c r="AF41" i="24"/>
  <c r="AF73" i="24"/>
  <c r="AF99" i="24"/>
  <c r="AF132" i="24"/>
  <c r="N132" i="25" s="1"/>
  <c r="AF17" i="24"/>
  <c r="N17" i="25" s="1"/>
  <c r="AF49" i="24"/>
  <c r="AF75" i="24"/>
  <c r="AF108" i="24"/>
  <c r="N108" i="25" s="1"/>
  <c r="AF134" i="24"/>
  <c r="N134" i="25" s="1"/>
  <c r="AF24" i="24"/>
  <c r="AF50" i="24"/>
  <c r="AF77" i="24"/>
  <c r="AF109" i="24"/>
  <c r="AF135" i="24"/>
  <c r="AF25" i="24"/>
  <c r="AF51" i="24"/>
  <c r="AF84" i="24"/>
  <c r="N84" i="25" s="1"/>
  <c r="AF110" i="24"/>
  <c r="AF26" i="24"/>
  <c r="N26" i="25" s="1"/>
  <c r="AF53" i="24"/>
  <c r="N53" i="25" s="1"/>
  <c r="AF85" i="24"/>
  <c r="N85" i="25" s="1"/>
  <c r="AF111" i="24"/>
  <c r="AF27" i="24"/>
  <c r="AF60" i="24"/>
  <c r="AF86" i="24"/>
  <c r="AF113" i="24"/>
  <c r="AF36" i="24"/>
  <c r="AF62" i="24"/>
  <c r="N62" i="25" s="1"/>
  <c r="AF89" i="24"/>
  <c r="AF121" i="24"/>
  <c r="AF12" i="24"/>
  <c r="AF97" i="24"/>
  <c r="N97" i="25" s="1"/>
  <c r="AF15" i="24"/>
  <c r="N15" i="25" s="1"/>
  <c r="AF101" i="24"/>
  <c r="AF29" i="24"/>
  <c r="AF120" i="24"/>
  <c r="AF37" i="24"/>
  <c r="AF122" i="24"/>
  <c r="AF38" i="24"/>
  <c r="AF123" i="24"/>
  <c r="N123" i="25" s="1"/>
  <c r="AF48" i="24"/>
  <c r="N48" i="25" s="1"/>
  <c r="AF133" i="24"/>
  <c r="AF61" i="24"/>
  <c r="N61" i="25" s="1"/>
  <c r="AF63" i="24"/>
  <c r="N63" i="25" s="1"/>
  <c r="AF65" i="24"/>
  <c r="N65" i="25" s="1"/>
  <c r="AF74" i="24"/>
  <c r="AF96" i="24"/>
  <c r="AF5" i="24"/>
  <c r="AF87" i="24"/>
  <c r="AD5" i="24"/>
  <c r="AD17" i="24"/>
  <c r="AD29" i="24"/>
  <c r="L29" i="25" s="1"/>
  <c r="AD41" i="24"/>
  <c r="AD53" i="24"/>
  <c r="AD65" i="24"/>
  <c r="L65" i="25" s="1"/>
  <c r="AD77" i="24"/>
  <c r="L77" i="25" s="1"/>
  <c r="AD89" i="24"/>
  <c r="L89" i="25" s="1"/>
  <c r="AD6" i="24"/>
  <c r="AD18" i="24"/>
  <c r="AD30" i="24"/>
  <c r="AD42" i="24"/>
  <c r="AD54" i="24"/>
  <c r="AD66" i="24"/>
  <c r="AD78" i="24"/>
  <c r="L78" i="25" s="1"/>
  <c r="AD90" i="24"/>
  <c r="L90" i="25" s="1"/>
  <c r="AD7" i="24"/>
  <c r="AD19" i="24"/>
  <c r="L19" i="25" s="1"/>
  <c r="AD31" i="24"/>
  <c r="L31" i="25" s="1"/>
  <c r="AD43" i="24"/>
  <c r="AD55" i="24"/>
  <c r="AD67" i="24"/>
  <c r="AD79" i="24"/>
  <c r="AD91" i="24"/>
  <c r="AD8" i="24"/>
  <c r="AD20" i="24"/>
  <c r="AD32" i="24"/>
  <c r="L32" i="25" s="1"/>
  <c r="AD44" i="24"/>
  <c r="L44" i="25" s="1"/>
  <c r="AD56" i="24"/>
  <c r="AD68" i="24"/>
  <c r="L68" i="25" s="1"/>
  <c r="AD80" i="24"/>
  <c r="L80" i="25" s="1"/>
  <c r="AD92" i="24"/>
  <c r="L92" i="25" s="1"/>
  <c r="AD9" i="24"/>
  <c r="AD21" i="24"/>
  <c r="AD33" i="24"/>
  <c r="AD45" i="24"/>
  <c r="AD57" i="24"/>
  <c r="AD69" i="24"/>
  <c r="AD81" i="24"/>
  <c r="L81" i="25" s="1"/>
  <c r="AD93" i="24"/>
  <c r="L93" i="25" s="1"/>
  <c r="AD10" i="24"/>
  <c r="AD22" i="24"/>
  <c r="L22" i="25" s="1"/>
  <c r="AD34" i="24"/>
  <c r="L34" i="25" s="1"/>
  <c r="AD46" i="24"/>
  <c r="L46" i="25" s="1"/>
  <c r="AD58" i="24"/>
  <c r="AD70" i="24"/>
  <c r="AD82" i="24"/>
  <c r="AD94" i="24"/>
  <c r="AD12" i="24"/>
  <c r="AD36" i="24"/>
  <c r="AD60" i="24"/>
  <c r="L60" i="25" s="1"/>
  <c r="AD84" i="24"/>
  <c r="L84" i="25" s="1"/>
  <c r="AD102" i="24"/>
  <c r="AD114" i="24"/>
  <c r="L114" i="25" s="1"/>
  <c r="AD126" i="24"/>
  <c r="L126" i="25" s="1"/>
  <c r="AD13" i="24"/>
  <c r="L13" i="25" s="1"/>
  <c r="AD37" i="24"/>
  <c r="AD61" i="24"/>
  <c r="AD85" i="24"/>
  <c r="AD103" i="24"/>
  <c r="AD115" i="24"/>
  <c r="AD127" i="24"/>
  <c r="AD15" i="24"/>
  <c r="AD39" i="24"/>
  <c r="L39" i="25" s="1"/>
  <c r="AD63" i="24"/>
  <c r="AD87" i="24"/>
  <c r="L87" i="25" s="1"/>
  <c r="AD105" i="24"/>
  <c r="L105" i="25" s="1"/>
  <c r="AD117" i="24"/>
  <c r="L117" i="25" s="1"/>
  <c r="AD129" i="24"/>
  <c r="AD16" i="24"/>
  <c r="AD40" i="24"/>
  <c r="AD64" i="24"/>
  <c r="AD88" i="24"/>
  <c r="AD106" i="24"/>
  <c r="AD118" i="24"/>
  <c r="L118" i="25" s="1"/>
  <c r="AD130" i="24"/>
  <c r="L130" i="25" s="1"/>
  <c r="AD23" i="24"/>
  <c r="AD47" i="24"/>
  <c r="L47" i="25" s="1"/>
  <c r="AD71" i="24"/>
  <c r="L71" i="25" s="1"/>
  <c r="AD95" i="24"/>
  <c r="L95" i="25" s="1"/>
  <c r="AD107" i="24"/>
  <c r="AD119" i="24"/>
  <c r="AD131" i="24"/>
  <c r="AD24" i="24"/>
  <c r="AD48" i="24"/>
  <c r="AD72" i="24"/>
  <c r="AD96" i="24"/>
  <c r="L96" i="25" s="1"/>
  <c r="AD108" i="24"/>
  <c r="L108" i="25" s="1"/>
  <c r="AD120" i="24"/>
  <c r="AD132" i="24"/>
  <c r="L132" i="25" s="1"/>
  <c r="AD25" i="24"/>
  <c r="L25" i="25" s="1"/>
  <c r="AD49" i="24"/>
  <c r="L49" i="25" s="1"/>
  <c r="AD73" i="24"/>
  <c r="AD97" i="24"/>
  <c r="AD109" i="24"/>
  <c r="AD121" i="24"/>
  <c r="AD133" i="24"/>
  <c r="AD27" i="24"/>
  <c r="AD51" i="24"/>
  <c r="L51" i="25" s="1"/>
  <c r="AD75" i="24"/>
  <c r="L75" i="25" s="1"/>
  <c r="AD99" i="24"/>
  <c r="AD111" i="24"/>
  <c r="L111" i="25" s="1"/>
  <c r="AD123" i="24"/>
  <c r="L123" i="25" s="1"/>
  <c r="AD135" i="24"/>
  <c r="L135" i="25" s="1"/>
  <c r="AD59" i="24"/>
  <c r="AD113" i="24"/>
  <c r="AD62" i="24"/>
  <c r="AD116" i="24"/>
  <c r="AD74" i="24"/>
  <c r="AD122" i="24"/>
  <c r="AD76" i="24"/>
  <c r="L76" i="25" s="1"/>
  <c r="AD124" i="24"/>
  <c r="L124" i="25" s="1"/>
  <c r="AD11" i="24"/>
  <c r="AD83" i="24"/>
  <c r="L83" i="25" s="1"/>
  <c r="AD125" i="24"/>
  <c r="L125" i="25" s="1"/>
  <c r="AD14" i="24"/>
  <c r="L14" i="25" s="1"/>
  <c r="AD86" i="24"/>
  <c r="AD128" i="24"/>
  <c r="AD26" i="24"/>
  <c r="AD98" i="24"/>
  <c r="AD134" i="24"/>
  <c r="AD28" i="24"/>
  <c r="AD100" i="24"/>
  <c r="L100" i="25" s="1"/>
  <c r="AD136" i="24"/>
  <c r="L136" i="25" s="1"/>
  <c r="AD35" i="24"/>
  <c r="AD101" i="24"/>
  <c r="L101" i="25" s="1"/>
  <c r="AD4" i="24"/>
  <c r="L4" i="25" s="1"/>
  <c r="AD38" i="24"/>
  <c r="L38" i="25" s="1"/>
  <c r="AD104" i="24"/>
  <c r="AD52" i="24"/>
  <c r="AD110" i="24"/>
  <c r="AD112" i="24"/>
  <c r="AD50" i="24"/>
  <c r="W18" i="24"/>
  <c r="W30" i="24"/>
  <c r="E30" i="25" s="1"/>
  <c r="W42" i="24"/>
  <c r="E42" i="25" s="1"/>
  <c r="W54" i="24"/>
  <c r="W66" i="24"/>
  <c r="E66" i="25" s="1"/>
  <c r="W78" i="24"/>
  <c r="E78" i="25" s="1"/>
  <c r="W90" i="24"/>
  <c r="E90" i="25" s="1"/>
  <c r="W102" i="24"/>
  <c r="W114" i="24"/>
  <c r="W126" i="24"/>
  <c r="W5" i="24"/>
  <c r="W7" i="24"/>
  <c r="W19" i="24"/>
  <c r="W31" i="24"/>
  <c r="W43" i="24"/>
  <c r="E43" i="25" s="1"/>
  <c r="W55" i="24"/>
  <c r="W67" i="24"/>
  <c r="E67" i="25" s="1"/>
  <c r="W79" i="24"/>
  <c r="E79" i="25" s="1"/>
  <c r="W91" i="24"/>
  <c r="E91" i="25" s="1"/>
  <c r="W103" i="24"/>
  <c r="W115" i="24"/>
  <c r="W127" i="24"/>
  <c r="W4" i="24"/>
  <c r="W8" i="24"/>
  <c r="W20" i="24"/>
  <c r="W32" i="24"/>
  <c r="E32" i="25" s="1"/>
  <c r="W44" i="24"/>
  <c r="E44" i="25" s="1"/>
  <c r="W56" i="24"/>
  <c r="W68" i="24"/>
  <c r="W80" i="24"/>
  <c r="E80" i="25" s="1"/>
  <c r="W92" i="24"/>
  <c r="E92" i="25" s="1"/>
  <c r="W104" i="24"/>
  <c r="W116" i="24"/>
  <c r="W128" i="24"/>
  <c r="W9" i="24"/>
  <c r="W21" i="24"/>
  <c r="W33" i="24"/>
  <c r="W45" i="24"/>
  <c r="E45" i="25" s="1"/>
  <c r="W57" i="24"/>
  <c r="E57" i="25" s="1"/>
  <c r="W69" i="24"/>
  <c r="W81" i="24"/>
  <c r="E81" i="25" s="1"/>
  <c r="W93" i="24"/>
  <c r="E93" i="25" s="1"/>
  <c r="W105" i="24"/>
  <c r="E105" i="25" s="1"/>
  <c r="W117" i="24"/>
  <c r="W129" i="24"/>
  <c r="W10" i="24"/>
  <c r="W22" i="24"/>
  <c r="W34" i="24"/>
  <c r="W46" i="24"/>
  <c r="W58" i="24"/>
  <c r="E58" i="25" s="1"/>
  <c r="W70" i="24"/>
  <c r="W82" i="24"/>
  <c r="W94" i="24"/>
  <c r="E94" i="25" s="1"/>
  <c r="W106" i="24"/>
  <c r="E106" i="25" s="1"/>
  <c r="W118" i="24"/>
  <c r="E118" i="25" s="1"/>
  <c r="W130" i="24"/>
  <c r="W11" i="24"/>
  <c r="W23" i="24"/>
  <c r="W35" i="24"/>
  <c r="W47" i="24"/>
  <c r="W59" i="24"/>
  <c r="W71" i="24"/>
  <c r="E71" i="25" s="1"/>
  <c r="W83" i="24"/>
  <c r="E83" i="25" s="1"/>
  <c r="W95" i="24"/>
  <c r="W107" i="24"/>
  <c r="W119" i="24"/>
  <c r="E119" i="25" s="1"/>
  <c r="W131" i="24"/>
  <c r="E131" i="25" s="1"/>
  <c r="W13" i="24"/>
  <c r="W25" i="24"/>
  <c r="W37" i="24"/>
  <c r="W49" i="24"/>
  <c r="W61" i="24"/>
  <c r="W73" i="24"/>
  <c r="W85" i="24"/>
  <c r="E85" i="25" s="1"/>
  <c r="W97" i="24"/>
  <c r="E97" i="25" s="1"/>
  <c r="W109" i="24"/>
  <c r="W121" i="24"/>
  <c r="W133" i="24"/>
  <c r="E133" i="25" s="1"/>
  <c r="W14" i="24"/>
  <c r="E14" i="25" s="1"/>
  <c r="W26" i="24"/>
  <c r="W38" i="24"/>
  <c r="W50" i="24"/>
  <c r="W62" i="24"/>
  <c r="W74" i="24"/>
  <c r="W86" i="24"/>
  <c r="W98" i="24"/>
  <c r="E98" i="25" s="1"/>
  <c r="W110" i="24"/>
  <c r="E110" i="25" s="1"/>
  <c r="W122" i="24"/>
  <c r="W134" i="24"/>
  <c r="E134" i="25" s="1"/>
  <c r="W15" i="24"/>
  <c r="E15" i="25" s="1"/>
  <c r="W27" i="24"/>
  <c r="E27" i="25" s="1"/>
  <c r="W39" i="24"/>
  <c r="W51" i="24"/>
  <c r="W63" i="24"/>
  <c r="W75" i="24"/>
  <c r="W87" i="24"/>
  <c r="W99" i="24"/>
  <c r="W111" i="24"/>
  <c r="E111" i="25" s="1"/>
  <c r="W123" i="24"/>
  <c r="E123" i="25" s="1"/>
  <c r="W135" i="24"/>
  <c r="W36" i="24"/>
  <c r="E36" i="25" s="1"/>
  <c r="W89" i="24"/>
  <c r="E89" i="25" s="1"/>
  <c r="W48" i="24"/>
  <c r="E48" i="25" s="1"/>
  <c r="W96" i="24"/>
  <c r="W52" i="24"/>
  <c r="W100" i="24"/>
  <c r="W53" i="24"/>
  <c r="W101" i="24"/>
  <c r="W12" i="24"/>
  <c r="W60" i="24"/>
  <c r="E60" i="25" s="1"/>
  <c r="W108" i="24"/>
  <c r="E108" i="25" s="1"/>
  <c r="W72" i="24"/>
  <c r="W28" i="24"/>
  <c r="E28" i="25" s="1"/>
  <c r="W124" i="24"/>
  <c r="E124" i="25" s="1"/>
  <c r="W29" i="24"/>
  <c r="E29" i="25" s="1"/>
  <c r="W125" i="24"/>
  <c r="W84" i="24"/>
  <c r="W88" i="24"/>
  <c r="W41" i="24"/>
  <c r="W16" i="24"/>
  <c r="W64" i="24"/>
  <c r="W112" i="24"/>
  <c r="E112" i="25" s="1"/>
  <c r="W24" i="24"/>
  <c r="E24" i="25" s="1"/>
  <c r="W120" i="24"/>
  <c r="W76" i="24"/>
  <c r="W77" i="24"/>
  <c r="E77" i="25" s="1"/>
  <c r="W132" i="24"/>
  <c r="E132" i="25" s="1"/>
  <c r="W40" i="24"/>
  <c r="W136" i="24"/>
  <c r="W6" i="24"/>
  <c r="W17" i="24"/>
  <c r="W65" i="24"/>
  <c r="W113" i="24"/>
  <c r="AA16" i="24"/>
  <c r="I16" i="25" s="1"/>
  <c r="AA28" i="24"/>
  <c r="I28" i="25" s="1"/>
  <c r="AA40" i="24"/>
  <c r="AA52" i="24"/>
  <c r="I52" i="25" s="1"/>
  <c r="AA64" i="24"/>
  <c r="I64" i="25" s="1"/>
  <c r="AA76" i="24"/>
  <c r="I76" i="25" s="1"/>
  <c r="AA88" i="24"/>
  <c r="AA100" i="24"/>
  <c r="AA112" i="24"/>
  <c r="AA124" i="24"/>
  <c r="AA136" i="24"/>
  <c r="AA6" i="24"/>
  <c r="AA18" i="24"/>
  <c r="I18" i="25" s="1"/>
  <c r="AA30" i="24"/>
  <c r="I30" i="25" s="1"/>
  <c r="AA42" i="24"/>
  <c r="AA54" i="24"/>
  <c r="I54" i="25" s="1"/>
  <c r="AA66" i="24"/>
  <c r="I66" i="25" s="1"/>
  <c r="AA78" i="24"/>
  <c r="I78" i="25" s="1"/>
  <c r="AA90" i="24"/>
  <c r="AA102" i="24"/>
  <c r="AA114" i="24"/>
  <c r="AA126" i="24"/>
  <c r="AA7" i="24"/>
  <c r="AA19" i="24"/>
  <c r="AA31" i="24"/>
  <c r="AA43" i="24"/>
  <c r="I43" i="25" s="1"/>
  <c r="AA55" i="24"/>
  <c r="AA67" i="24"/>
  <c r="I67" i="25" s="1"/>
  <c r="AA79" i="24"/>
  <c r="I79" i="25" s="1"/>
  <c r="AA91" i="24"/>
  <c r="I91" i="25" s="1"/>
  <c r="AA103" i="24"/>
  <c r="AA115" i="24"/>
  <c r="AA127" i="24"/>
  <c r="AA8" i="24"/>
  <c r="AA20" i="24"/>
  <c r="AA32" i="24"/>
  <c r="AA44" i="24"/>
  <c r="I44" i="25" s="1"/>
  <c r="AA56" i="24"/>
  <c r="I56" i="25" s="1"/>
  <c r="AA68" i="24"/>
  <c r="AA80" i="24"/>
  <c r="I80" i="25" s="1"/>
  <c r="AA92" i="24"/>
  <c r="I92" i="25" s="1"/>
  <c r="AA104" i="24"/>
  <c r="I104" i="25" s="1"/>
  <c r="AA116" i="24"/>
  <c r="AA128" i="24"/>
  <c r="AA9" i="24"/>
  <c r="AA21" i="24"/>
  <c r="AA33" i="24"/>
  <c r="AA45" i="24"/>
  <c r="AA57" i="24"/>
  <c r="I57" i="25" s="1"/>
  <c r="AA69" i="24"/>
  <c r="I69" i="25" s="1"/>
  <c r="AA81" i="24"/>
  <c r="AA93" i="24"/>
  <c r="I93" i="25" s="1"/>
  <c r="AA105" i="24"/>
  <c r="I105" i="25" s="1"/>
  <c r="AA117" i="24"/>
  <c r="I117" i="25" s="1"/>
  <c r="AA129" i="24"/>
  <c r="AA10" i="24"/>
  <c r="AA22" i="24"/>
  <c r="AA34" i="24"/>
  <c r="AA46" i="24"/>
  <c r="AA58" i="24"/>
  <c r="AA70" i="24"/>
  <c r="I70" i="25" s="1"/>
  <c r="AA82" i="24"/>
  <c r="I82" i="25" s="1"/>
  <c r="AA94" i="24"/>
  <c r="AA106" i="24"/>
  <c r="I106" i="25" s="1"/>
  <c r="AA118" i="24"/>
  <c r="I118" i="25" s="1"/>
  <c r="AA130" i="24"/>
  <c r="I130" i="25" s="1"/>
  <c r="AA12" i="24"/>
  <c r="AA24" i="24"/>
  <c r="AA36" i="24"/>
  <c r="AA48" i="24"/>
  <c r="AA60" i="24"/>
  <c r="AA72" i="24"/>
  <c r="AA84" i="24"/>
  <c r="AA96" i="24"/>
  <c r="I96" i="25" s="1"/>
  <c r="AA29" i="24"/>
  <c r="AA61" i="24"/>
  <c r="I61" i="25" s="1"/>
  <c r="AA87" i="24"/>
  <c r="I87" i="25" s="1"/>
  <c r="AA113" i="24"/>
  <c r="I113" i="25" s="1"/>
  <c r="AA4" i="24"/>
  <c r="AA35" i="24"/>
  <c r="AA62" i="24"/>
  <c r="AA89" i="24"/>
  <c r="AA119" i="24"/>
  <c r="AA5" i="24"/>
  <c r="AA37" i="24"/>
  <c r="I37" i="25" s="1"/>
  <c r="AA63" i="24"/>
  <c r="AA95" i="24"/>
  <c r="AA120" i="24"/>
  <c r="I120" i="25" s="1"/>
  <c r="AA11" i="24"/>
  <c r="I11" i="25" s="1"/>
  <c r="AA38" i="24"/>
  <c r="I38" i="25" s="1"/>
  <c r="AA65" i="24"/>
  <c r="AA97" i="24"/>
  <c r="AA121" i="24"/>
  <c r="AA13" i="24"/>
  <c r="AA39" i="24"/>
  <c r="AA71" i="24"/>
  <c r="AA98" i="24"/>
  <c r="AA122" i="24"/>
  <c r="I122" i="25" s="1"/>
  <c r="AA14" i="24"/>
  <c r="AA41" i="24"/>
  <c r="I41" i="25" s="1"/>
  <c r="AA73" i="24"/>
  <c r="I73" i="25" s="1"/>
  <c r="AA99" i="24"/>
  <c r="I99" i="25" s="1"/>
  <c r="AA123" i="24"/>
  <c r="AA15" i="24"/>
  <c r="AA47" i="24"/>
  <c r="AA74" i="24"/>
  <c r="AA101" i="24"/>
  <c r="AA125" i="24"/>
  <c r="AA17" i="24"/>
  <c r="AA49" i="24"/>
  <c r="I49" i="25" s="1"/>
  <c r="AA75" i="24"/>
  <c r="AA107" i="24"/>
  <c r="I107" i="25" s="1"/>
  <c r="AA131" i="24"/>
  <c r="I131" i="25" s="1"/>
  <c r="AA23" i="24"/>
  <c r="I23" i="25" s="1"/>
  <c r="AA50" i="24"/>
  <c r="AA77" i="24"/>
  <c r="AA108" i="24"/>
  <c r="AA132" i="24"/>
  <c r="AA25" i="24"/>
  <c r="AA51" i="24"/>
  <c r="AA83" i="24"/>
  <c r="I83" i="25" s="1"/>
  <c r="AA109" i="24"/>
  <c r="I109" i="25" s="1"/>
  <c r="AA133" i="24"/>
  <c r="AA26" i="24"/>
  <c r="I26" i="25" s="1"/>
  <c r="AA85" i="24"/>
  <c r="I85" i="25" s="1"/>
  <c r="AA86" i="24"/>
  <c r="I86" i="25" s="1"/>
  <c r="AA110" i="24"/>
  <c r="AA111" i="24"/>
  <c r="AA59" i="24"/>
  <c r="AA134" i="24"/>
  <c r="AA27" i="24"/>
  <c r="AA135" i="24"/>
  <c r="AA53" i="24"/>
  <c r="I53" i="25" s="1"/>
  <c r="AH6" i="24"/>
  <c r="P6" i="25" s="1"/>
  <c r="AH18" i="24"/>
  <c r="AH30" i="24"/>
  <c r="AH42" i="24"/>
  <c r="P42" i="25" s="1"/>
  <c r="AH54" i="24"/>
  <c r="P54" i="25" s="1"/>
  <c r="AH66" i="24"/>
  <c r="AH78" i="24"/>
  <c r="AH90" i="24"/>
  <c r="AH102" i="24"/>
  <c r="AH114" i="24"/>
  <c r="AH126" i="24"/>
  <c r="P126" i="25" s="1"/>
  <c r="AH8" i="24"/>
  <c r="P8" i="25" s="1"/>
  <c r="AH20" i="24"/>
  <c r="P20" i="25" s="1"/>
  <c r="AH32" i="24"/>
  <c r="AH44" i="24"/>
  <c r="P44" i="25" s="1"/>
  <c r="AH56" i="24"/>
  <c r="P56" i="25" s="1"/>
  <c r="AH68" i="24"/>
  <c r="P68" i="25" s="1"/>
  <c r="AH80" i="24"/>
  <c r="AH92" i="24"/>
  <c r="AH104" i="24"/>
  <c r="AH116" i="24"/>
  <c r="AH128" i="24"/>
  <c r="AH9" i="24"/>
  <c r="P9" i="25" s="1"/>
  <c r="AH21" i="24"/>
  <c r="AH33" i="24"/>
  <c r="P33" i="25" s="1"/>
  <c r="AH45" i="24"/>
  <c r="P45" i="25" s="1"/>
  <c r="AH57" i="24"/>
  <c r="AH69" i="24"/>
  <c r="P69" i="25" s="1"/>
  <c r="AH81" i="24"/>
  <c r="AH93" i="24"/>
  <c r="AH105" i="24"/>
  <c r="AH117" i="24"/>
  <c r="AH129" i="24"/>
  <c r="AH10" i="24"/>
  <c r="AH22" i="24"/>
  <c r="AH34" i="24"/>
  <c r="P34" i="25" s="1"/>
  <c r="AH46" i="24"/>
  <c r="P46" i="25" s="1"/>
  <c r="AH58" i="24"/>
  <c r="AH70" i="24"/>
  <c r="P70" i="25" s="1"/>
  <c r="AH82" i="24"/>
  <c r="P82" i="25" s="1"/>
  <c r="AH94" i="24"/>
  <c r="P94" i="25" s="1"/>
  <c r="AH106" i="24"/>
  <c r="AH118" i="24"/>
  <c r="AH130" i="24"/>
  <c r="AH11" i="24"/>
  <c r="AH23" i="24"/>
  <c r="AH35" i="24"/>
  <c r="AH47" i="24"/>
  <c r="P47" i="25" s="1"/>
  <c r="AH59" i="24"/>
  <c r="P59" i="25" s="1"/>
  <c r="AH71" i="24"/>
  <c r="AH83" i="24"/>
  <c r="P83" i="25" s="1"/>
  <c r="AH95" i="24"/>
  <c r="P95" i="25" s="1"/>
  <c r="AH107" i="24"/>
  <c r="P107" i="25" s="1"/>
  <c r="AH119" i="24"/>
  <c r="AH131" i="24"/>
  <c r="AH12" i="24"/>
  <c r="AH24" i="24"/>
  <c r="AH36" i="24"/>
  <c r="AH48" i="24"/>
  <c r="AH60" i="24"/>
  <c r="AH72" i="24"/>
  <c r="P72" i="25" s="1"/>
  <c r="AH84" i="24"/>
  <c r="P84" i="25" s="1"/>
  <c r="AH96" i="24"/>
  <c r="P96" i="25" s="1"/>
  <c r="AH108" i="24"/>
  <c r="P108" i="25" s="1"/>
  <c r="AH120" i="24"/>
  <c r="P120" i="25" s="1"/>
  <c r="AH132" i="24"/>
  <c r="AH13" i="24"/>
  <c r="AH25" i="24"/>
  <c r="AH37" i="24"/>
  <c r="AH49" i="24"/>
  <c r="P49" i="25" s="1"/>
  <c r="AH61" i="24"/>
  <c r="AH73" i="24"/>
  <c r="P73" i="25" s="1"/>
  <c r="AH85" i="24"/>
  <c r="P85" i="25" s="1"/>
  <c r="AH97" i="24"/>
  <c r="P97" i="25" s="1"/>
  <c r="AH109" i="24"/>
  <c r="AH121" i="24"/>
  <c r="P121" i="25" s="1"/>
  <c r="AH133" i="24"/>
  <c r="P133" i="25" s="1"/>
  <c r="AH17" i="24"/>
  <c r="AH50" i="24"/>
  <c r="AH76" i="24"/>
  <c r="AH103" i="24"/>
  <c r="AH135" i="24"/>
  <c r="P135" i="25" s="1"/>
  <c r="AH19" i="24"/>
  <c r="P19" i="25" s="1"/>
  <c r="AH51" i="24"/>
  <c r="P51" i="25" s="1"/>
  <c r="AH77" i="24"/>
  <c r="P77" i="25" s="1"/>
  <c r="AH110" i="24"/>
  <c r="P110" i="25" s="1"/>
  <c r="AH136" i="24"/>
  <c r="P136" i="25" s="1"/>
  <c r="AH27" i="24"/>
  <c r="P27" i="25" s="1"/>
  <c r="AH53" i="24"/>
  <c r="P53" i="25" s="1"/>
  <c r="AH86" i="24"/>
  <c r="AH112" i="24"/>
  <c r="AH28" i="24"/>
  <c r="AH55" i="24"/>
  <c r="AH87" i="24"/>
  <c r="AH113" i="24"/>
  <c r="P113" i="25" s="1"/>
  <c r="AH29" i="24"/>
  <c r="AH62" i="24"/>
  <c r="P62" i="25" s="1"/>
  <c r="AH88" i="24"/>
  <c r="AH115" i="24"/>
  <c r="P115" i="25" s="1"/>
  <c r="AH31" i="24"/>
  <c r="P31" i="25" s="1"/>
  <c r="AH63" i="24"/>
  <c r="P63" i="25" s="1"/>
  <c r="AH89" i="24"/>
  <c r="P89" i="25" s="1"/>
  <c r="AH122" i="24"/>
  <c r="AH5" i="24"/>
  <c r="AH38" i="24"/>
  <c r="AH64" i="24"/>
  <c r="AH91" i="24"/>
  <c r="P91" i="25" s="1"/>
  <c r="AH123" i="24"/>
  <c r="P123" i="25" s="1"/>
  <c r="AH7" i="24"/>
  <c r="P7" i="25" s="1"/>
  <c r="AH39" i="24"/>
  <c r="P39" i="25" s="1"/>
  <c r="AH65" i="24"/>
  <c r="P65" i="25" s="1"/>
  <c r="AH98" i="24"/>
  <c r="P98" i="25" s="1"/>
  <c r="AH124" i="24"/>
  <c r="P124" i="25" s="1"/>
  <c r="AH14" i="24"/>
  <c r="AH40" i="24"/>
  <c r="AH67" i="24"/>
  <c r="AH99" i="24"/>
  <c r="AH125" i="24"/>
  <c r="AH52" i="24"/>
  <c r="AH74" i="24"/>
  <c r="P74" i="25" s="1"/>
  <c r="AH75" i="24"/>
  <c r="P75" i="25" s="1"/>
  <c r="AH79" i="24"/>
  <c r="P79" i="25" s="1"/>
  <c r="AH100" i="24"/>
  <c r="P100" i="25" s="1"/>
  <c r="AH101" i="24"/>
  <c r="P101" i="25" s="1"/>
  <c r="AH111" i="24"/>
  <c r="P111" i="25" s="1"/>
  <c r="AH15" i="24"/>
  <c r="P15" i="25" s="1"/>
  <c r="AH127" i="24"/>
  <c r="P127" i="25" s="1"/>
  <c r="AH16" i="24"/>
  <c r="AH134" i="24"/>
  <c r="AH26" i="24"/>
  <c r="P26" i="25" s="1"/>
  <c r="AH4" i="24"/>
  <c r="AH41" i="24"/>
  <c r="P41" i="25" s="1"/>
  <c r="AH43" i="24"/>
  <c r="P43" i="25" s="1"/>
  <c r="U14" i="24"/>
  <c r="U26" i="24"/>
  <c r="C26" i="25" s="1"/>
  <c r="U38" i="24"/>
  <c r="C38" i="25" s="1"/>
  <c r="U50" i="24"/>
  <c r="C50" i="25" s="1"/>
  <c r="U62" i="24"/>
  <c r="U74" i="24"/>
  <c r="U86" i="24"/>
  <c r="U98" i="24"/>
  <c r="U110" i="24"/>
  <c r="U122" i="24"/>
  <c r="C122" i="25" s="1"/>
  <c r="U134" i="24"/>
  <c r="U5" i="24"/>
  <c r="C5" i="25" s="1"/>
  <c r="U17" i="24"/>
  <c r="U29" i="24"/>
  <c r="C29" i="25" s="1"/>
  <c r="U41" i="24"/>
  <c r="C41" i="25" s="1"/>
  <c r="U53" i="24"/>
  <c r="C53" i="25" s="1"/>
  <c r="U65" i="24"/>
  <c r="U77" i="24"/>
  <c r="U89" i="24"/>
  <c r="U6" i="24"/>
  <c r="U18" i="24"/>
  <c r="U30" i="24"/>
  <c r="U42" i="24"/>
  <c r="C42" i="25" s="1"/>
  <c r="U54" i="24"/>
  <c r="C54" i="25" s="1"/>
  <c r="U66" i="24"/>
  <c r="U78" i="24"/>
  <c r="C78" i="25" s="1"/>
  <c r="U90" i="24"/>
  <c r="C90" i="25" s="1"/>
  <c r="U102" i="24"/>
  <c r="C102" i="25" s="1"/>
  <c r="U114" i="24"/>
  <c r="C114" i="25" s="1"/>
  <c r="U126" i="24"/>
  <c r="U9" i="24"/>
  <c r="U21" i="24"/>
  <c r="U33" i="24"/>
  <c r="U45" i="24"/>
  <c r="U57" i="24"/>
  <c r="U69" i="24"/>
  <c r="C69" i="25" s="1"/>
  <c r="U81" i="24"/>
  <c r="U93" i="24"/>
  <c r="C93" i="25" s="1"/>
  <c r="U105" i="24"/>
  <c r="C105" i="25" s="1"/>
  <c r="U117" i="24"/>
  <c r="C117" i="25" s="1"/>
  <c r="U129" i="24"/>
  <c r="U10" i="24"/>
  <c r="U22" i="24"/>
  <c r="U34" i="24"/>
  <c r="U46" i="24"/>
  <c r="U58" i="24"/>
  <c r="U70" i="24"/>
  <c r="C70" i="25" s="1"/>
  <c r="U82" i="24"/>
  <c r="C82" i="25" s="1"/>
  <c r="U94" i="24"/>
  <c r="C94" i="25" s="1"/>
  <c r="U106" i="24"/>
  <c r="C106" i="25" s="1"/>
  <c r="U118" i="24"/>
  <c r="C118" i="25" s="1"/>
  <c r="U130" i="24"/>
  <c r="C130" i="25" s="1"/>
  <c r="U11" i="24"/>
  <c r="U23" i="24"/>
  <c r="U35" i="24"/>
  <c r="U47" i="24"/>
  <c r="U59" i="24"/>
  <c r="U71" i="24"/>
  <c r="U83" i="24"/>
  <c r="C83" i="25" s="1"/>
  <c r="U95" i="24"/>
  <c r="C95" i="25" s="1"/>
  <c r="U107" i="24"/>
  <c r="C107" i="25" s="1"/>
  <c r="U119" i="24"/>
  <c r="C119" i="25" s="1"/>
  <c r="U131" i="24"/>
  <c r="C131" i="25" s="1"/>
  <c r="U103" i="24"/>
  <c r="C103" i="25" s="1"/>
  <c r="U12" i="24"/>
  <c r="U13" i="24"/>
  <c r="U37" i="24"/>
  <c r="U61" i="24"/>
  <c r="U85" i="24"/>
  <c r="U108" i="24"/>
  <c r="C108" i="25" s="1"/>
  <c r="U127" i="24"/>
  <c r="C127" i="25" s="1"/>
  <c r="U15" i="24"/>
  <c r="C15" i="25" s="1"/>
  <c r="U39" i="24"/>
  <c r="C39" i="25" s="1"/>
  <c r="U63" i="24"/>
  <c r="C63" i="25" s="1"/>
  <c r="U87" i="24"/>
  <c r="C87" i="25" s="1"/>
  <c r="U109" i="24"/>
  <c r="C109" i="25" s="1"/>
  <c r="U128" i="24"/>
  <c r="C128" i="25" s="1"/>
  <c r="U16" i="24"/>
  <c r="U40" i="24"/>
  <c r="U64" i="24"/>
  <c r="U88" i="24"/>
  <c r="U111" i="24"/>
  <c r="U132" i="24"/>
  <c r="C132" i="25" s="1"/>
  <c r="U79" i="24"/>
  <c r="C79" i="25" s="1"/>
  <c r="U32" i="24"/>
  <c r="U84" i="24"/>
  <c r="C84" i="25" s="1"/>
  <c r="U19" i="24"/>
  <c r="C19" i="25" s="1"/>
  <c r="U43" i="24"/>
  <c r="C43" i="25" s="1"/>
  <c r="U67" i="24"/>
  <c r="U91" i="24"/>
  <c r="U112" i="24"/>
  <c r="U133" i="24"/>
  <c r="U113" i="24"/>
  <c r="U49" i="24"/>
  <c r="U97" i="24"/>
  <c r="C97" i="25" s="1"/>
  <c r="U116" i="24"/>
  <c r="C116" i="25" s="1"/>
  <c r="U51" i="24"/>
  <c r="C51" i="25" s="1"/>
  <c r="U99" i="24"/>
  <c r="C99" i="25" s="1"/>
  <c r="U52" i="24"/>
  <c r="C52" i="25" s="1"/>
  <c r="U100" i="24"/>
  <c r="C100" i="25" s="1"/>
  <c r="U55" i="24"/>
  <c r="U8" i="24"/>
  <c r="U36" i="24"/>
  <c r="U125" i="24"/>
  <c r="U20" i="24"/>
  <c r="U44" i="24"/>
  <c r="C44" i="25" s="1"/>
  <c r="U68" i="24"/>
  <c r="C68" i="25" s="1"/>
  <c r="U92" i="24"/>
  <c r="U135" i="24"/>
  <c r="U25" i="24"/>
  <c r="C25" i="25" s="1"/>
  <c r="U73" i="24"/>
  <c r="C73" i="25" s="1"/>
  <c r="U4" i="24"/>
  <c r="C4" i="25" s="1"/>
  <c r="U27" i="24"/>
  <c r="C27" i="25" s="1"/>
  <c r="U75" i="24"/>
  <c r="U120" i="24"/>
  <c r="U28" i="24"/>
  <c r="U76" i="24"/>
  <c r="U121" i="24"/>
  <c r="U7" i="24"/>
  <c r="C7" i="25" s="1"/>
  <c r="U31" i="24"/>
  <c r="C31" i="25" s="1"/>
  <c r="U101" i="24"/>
  <c r="U123" i="24"/>
  <c r="C123" i="25" s="1"/>
  <c r="U56" i="24"/>
  <c r="C56" i="25" s="1"/>
  <c r="U80" i="24"/>
  <c r="C80" i="25" s="1"/>
  <c r="U124" i="24"/>
  <c r="U60" i="24"/>
  <c r="U104" i="24"/>
  <c r="U24" i="24"/>
  <c r="U48" i="24"/>
  <c r="U72" i="24"/>
  <c r="U96" i="24"/>
  <c r="C96" i="25" s="1"/>
  <c r="U115" i="24"/>
  <c r="C115" i="25" s="1"/>
  <c r="U136" i="24"/>
  <c r="AJ7" i="24"/>
  <c r="R7" i="25" s="1"/>
  <c r="AJ8" i="24"/>
  <c r="R8" i="25" s="1"/>
  <c r="AJ20" i="24"/>
  <c r="R20" i="25" s="1"/>
  <c r="AJ32" i="24"/>
  <c r="AJ44" i="24"/>
  <c r="AJ56" i="24"/>
  <c r="AJ68" i="24"/>
  <c r="AJ80" i="24"/>
  <c r="AJ92" i="24"/>
  <c r="R92" i="25" s="1"/>
  <c r="AJ104" i="24"/>
  <c r="R104" i="25" s="1"/>
  <c r="AJ116" i="24"/>
  <c r="R116" i="25" s="1"/>
  <c r="AJ128" i="24"/>
  <c r="R128" i="25" s="1"/>
  <c r="AJ9" i="24"/>
  <c r="R9" i="25" s="1"/>
  <c r="AJ21" i="24"/>
  <c r="R21" i="25" s="1"/>
  <c r="AJ33" i="24"/>
  <c r="R33" i="25" s="1"/>
  <c r="AJ45" i="24"/>
  <c r="AJ57" i="24"/>
  <c r="AJ69" i="24"/>
  <c r="AJ81" i="24"/>
  <c r="AJ93" i="24"/>
  <c r="AJ105" i="24"/>
  <c r="R105" i="25" s="1"/>
  <c r="AJ117" i="24"/>
  <c r="R117" i="25" s="1"/>
  <c r="AJ129" i="24"/>
  <c r="R129" i="25" s="1"/>
  <c r="AJ10" i="24"/>
  <c r="R10" i="25" s="1"/>
  <c r="AJ22" i="24"/>
  <c r="R22" i="25" s="1"/>
  <c r="AJ34" i="24"/>
  <c r="R34" i="25" s="1"/>
  <c r="AJ46" i="24"/>
  <c r="R46" i="25" s="1"/>
  <c r="AJ58" i="24"/>
  <c r="AJ70" i="24"/>
  <c r="AJ82" i="24"/>
  <c r="AJ94" i="24"/>
  <c r="AJ106" i="24"/>
  <c r="AJ118" i="24"/>
  <c r="R118" i="25" s="1"/>
  <c r="AJ130" i="24"/>
  <c r="R130" i="25" s="1"/>
  <c r="AJ11" i="24"/>
  <c r="R11" i="25" s="1"/>
  <c r="AJ23" i="24"/>
  <c r="AJ35" i="24"/>
  <c r="R35" i="25" s="1"/>
  <c r="AJ47" i="24"/>
  <c r="R47" i="25" s="1"/>
  <c r="AJ59" i="24"/>
  <c r="R59" i="25" s="1"/>
  <c r="AJ71" i="24"/>
  <c r="AJ83" i="24"/>
  <c r="R83" i="25" s="1"/>
  <c r="AJ95" i="24"/>
  <c r="AJ107" i="24"/>
  <c r="AJ119" i="24"/>
  <c r="AJ131" i="24"/>
  <c r="R131" i="25" s="1"/>
  <c r="AJ12" i="24"/>
  <c r="R12" i="25" s="1"/>
  <c r="AJ24" i="24"/>
  <c r="R24" i="25" s="1"/>
  <c r="AJ36" i="24"/>
  <c r="R36" i="25" s="1"/>
  <c r="AJ48" i="24"/>
  <c r="R48" i="25" s="1"/>
  <c r="AJ60" i="24"/>
  <c r="R60" i="25" s="1"/>
  <c r="AJ72" i="24"/>
  <c r="R72" i="25" s="1"/>
  <c r="AJ84" i="24"/>
  <c r="AJ96" i="24"/>
  <c r="AJ108" i="24"/>
  <c r="AJ120" i="24"/>
  <c r="AJ132" i="24"/>
  <c r="AJ13" i="24"/>
  <c r="AJ25" i="24"/>
  <c r="R25" i="25" s="1"/>
  <c r="AJ37" i="24"/>
  <c r="R37" i="25" s="1"/>
  <c r="AJ49" i="24"/>
  <c r="AJ61" i="24"/>
  <c r="R61" i="25" s="1"/>
  <c r="AJ73" i="24"/>
  <c r="R73" i="25" s="1"/>
  <c r="AJ85" i="24"/>
  <c r="R85" i="25" s="1"/>
  <c r="AJ97" i="24"/>
  <c r="AJ109" i="24"/>
  <c r="R109" i="25" s="1"/>
  <c r="AJ121" i="24"/>
  <c r="AJ133" i="24"/>
  <c r="AJ14" i="24"/>
  <c r="AJ26" i="24"/>
  <c r="R26" i="25" s="1"/>
  <c r="AJ38" i="24"/>
  <c r="R38" i="25" s="1"/>
  <c r="AJ50" i="24"/>
  <c r="R50" i="25" s="1"/>
  <c r="AJ62" i="24"/>
  <c r="AJ74" i="24"/>
  <c r="R74" i="25" s="1"/>
  <c r="AJ86" i="24"/>
  <c r="R86" i="25" s="1"/>
  <c r="AJ98" i="24"/>
  <c r="R98" i="25" s="1"/>
  <c r="AJ110" i="24"/>
  <c r="AJ122" i="24"/>
  <c r="R122" i="25" s="1"/>
  <c r="AJ134" i="24"/>
  <c r="AJ15" i="24"/>
  <c r="AJ27" i="24"/>
  <c r="AJ39" i="24"/>
  <c r="R39" i="25" s="1"/>
  <c r="AJ51" i="24"/>
  <c r="AJ63" i="24"/>
  <c r="R63" i="25" s="1"/>
  <c r="AJ75" i="24"/>
  <c r="AJ87" i="24"/>
  <c r="R87" i="25" s="1"/>
  <c r="AJ99" i="24"/>
  <c r="R99" i="25" s="1"/>
  <c r="AJ111" i="24"/>
  <c r="R111" i="25" s="1"/>
  <c r="AJ123" i="24"/>
  <c r="AJ135" i="24"/>
  <c r="R135" i="25" s="1"/>
  <c r="AJ17" i="24"/>
  <c r="AJ53" i="24"/>
  <c r="AJ89" i="24"/>
  <c r="AJ125" i="24"/>
  <c r="R125" i="25" s="1"/>
  <c r="AJ18" i="24"/>
  <c r="R18" i="25" s="1"/>
  <c r="AJ54" i="24"/>
  <c r="R54" i="25" s="1"/>
  <c r="AJ90" i="24"/>
  <c r="AJ126" i="24"/>
  <c r="R126" i="25" s="1"/>
  <c r="AJ28" i="24"/>
  <c r="R28" i="25" s="1"/>
  <c r="AJ64" i="24"/>
  <c r="R64" i="25" s="1"/>
  <c r="AJ100" i="24"/>
  <c r="AJ136" i="24"/>
  <c r="AJ29" i="24"/>
  <c r="AJ65" i="24"/>
  <c r="AJ101" i="24"/>
  <c r="AJ4" i="24"/>
  <c r="R4" i="25" s="1"/>
  <c r="AJ30" i="24"/>
  <c r="R30" i="25" s="1"/>
  <c r="AJ66" i="24"/>
  <c r="R66" i="25" s="1"/>
  <c r="AJ102" i="24"/>
  <c r="AJ31" i="24"/>
  <c r="R31" i="25" s="1"/>
  <c r="AJ67" i="24"/>
  <c r="R67" i="25" s="1"/>
  <c r="AJ103" i="24"/>
  <c r="R103" i="25" s="1"/>
  <c r="AJ40" i="24"/>
  <c r="R40" i="25" s="1"/>
  <c r="AJ76" i="24"/>
  <c r="AJ112" i="24"/>
  <c r="AJ41" i="24"/>
  <c r="AJ77" i="24"/>
  <c r="AJ113" i="24"/>
  <c r="R113" i="25" s="1"/>
  <c r="AJ5" i="24"/>
  <c r="R5" i="25" s="1"/>
  <c r="AJ42" i="24"/>
  <c r="R42" i="25" s="1"/>
  <c r="AJ78" i="24"/>
  <c r="AJ114" i="24"/>
  <c r="R114" i="25" s="1"/>
  <c r="AJ55" i="24"/>
  <c r="R55" i="25" s="1"/>
  <c r="AJ79" i="24"/>
  <c r="R79" i="25" s="1"/>
  <c r="AJ88" i="24"/>
  <c r="AJ91" i="24"/>
  <c r="AJ115" i="24"/>
  <c r="AJ124" i="24"/>
  <c r="AJ127" i="24"/>
  <c r="AJ6" i="24"/>
  <c r="AJ16" i="24"/>
  <c r="R16" i="25" s="1"/>
  <c r="AJ19" i="24"/>
  <c r="R19" i="25" s="1"/>
  <c r="AJ43" i="24"/>
  <c r="R43" i="25" s="1"/>
  <c r="AJ52" i="24"/>
  <c r="R52" i="25" s="1"/>
  <c r="AK7" i="24"/>
  <c r="S7" i="25" s="1"/>
  <c r="AK8" i="24"/>
  <c r="S8" i="25" s="1"/>
  <c r="AK20" i="24"/>
  <c r="AK32" i="24"/>
  <c r="AK44" i="24"/>
  <c r="AK56" i="24"/>
  <c r="AK68" i="24"/>
  <c r="S68" i="25" s="1"/>
  <c r="AK80" i="24"/>
  <c r="S80" i="25" s="1"/>
  <c r="AK92" i="24"/>
  <c r="S92" i="25" s="1"/>
  <c r="AK104" i="24"/>
  <c r="S104" i="25" s="1"/>
  <c r="AK116" i="24"/>
  <c r="S116" i="25" s="1"/>
  <c r="AK128" i="24"/>
  <c r="S128" i="25" s="1"/>
  <c r="AK9" i="24"/>
  <c r="S9" i="25" s="1"/>
  <c r="AK21" i="24"/>
  <c r="S21" i="25" s="1"/>
  <c r="AK33" i="24"/>
  <c r="AK45" i="24"/>
  <c r="AK57" i="24"/>
  <c r="AK69" i="24"/>
  <c r="AK81" i="24"/>
  <c r="AK93" i="24"/>
  <c r="AK105" i="24"/>
  <c r="S105" i="25" s="1"/>
  <c r="AK117" i="24"/>
  <c r="S117" i="25" s="1"/>
  <c r="AK129" i="24"/>
  <c r="AK10" i="24"/>
  <c r="S10" i="25" s="1"/>
  <c r="AK22" i="24"/>
  <c r="S22" i="25" s="1"/>
  <c r="AK34" i="24"/>
  <c r="S34" i="25" s="1"/>
  <c r="AK46" i="24"/>
  <c r="S46" i="25" s="1"/>
  <c r="AK58" i="24"/>
  <c r="S58" i="25" s="1"/>
  <c r="AK70" i="24"/>
  <c r="AK82" i="24"/>
  <c r="AK94" i="24"/>
  <c r="AK106" i="24"/>
  <c r="AK118" i="24"/>
  <c r="S118" i="25" s="1"/>
  <c r="AK130" i="24"/>
  <c r="S130" i="25" s="1"/>
  <c r="AK11" i="24"/>
  <c r="S11" i="25" s="1"/>
  <c r="AK23" i="24"/>
  <c r="AK35" i="24"/>
  <c r="S35" i="25" s="1"/>
  <c r="AK47" i="24"/>
  <c r="S47" i="25" s="1"/>
  <c r="AK59" i="24"/>
  <c r="AK71" i="24"/>
  <c r="S71" i="25" s="1"/>
  <c r="AK83" i="24"/>
  <c r="AK95" i="24"/>
  <c r="AK107" i="24"/>
  <c r="AK119" i="24"/>
  <c r="S119" i="25" s="1"/>
  <c r="AK131" i="24"/>
  <c r="S131" i="25" s="1"/>
  <c r="AK12" i="24"/>
  <c r="S12" i="25" s="1"/>
  <c r="AK24" i="24"/>
  <c r="S24" i="25" s="1"/>
  <c r="AK36" i="24"/>
  <c r="S36" i="25" s="1"/>
  <c r="AK48" i="24"/>
  <c r="S48" i="25" s="1"/>
  <c r="AK60" i="24"/>
  <c r="S60" i="25" s="1"/>
  <c r="AK72" i="24"/>
  <c r="AK84" i="24"/>
  <c r="AK96" i="24"/>
  <c r="AK108" i="24"/>
  <c r="AK120" i="24"/>
  <c r="AK132" i="24"/>
  <c r="S132" i="25" s="1"/>
  <c r="AK13" i="24"/>
  <c r="S13" i="25" s="1"/>
  <c r="AK25" i="24"/>
  <c r="S25" i="25" s="1"/>
  <c r="AK37" i="24"/>
  <c r="AK49" i="24"/>
  <c r="S49" i="25" s="1"/>
  <c r="AK61" i="24"/>
  <c r="S61" i="25" s="1"/>
  <c r="AK73" i="24"/>
  <c r="S73" i="25" s="1"/>
  <c r="AK85" i="24"/>
  <c r="AK97" i="24"/>
  <c r="AK109" i="24"/>
  <c r="AK121" i="24"/>
  <c r="AK133" i="24"/>
  <c r="AK14" i="24"/>
  <c r="S14" i="25" s="1"/>
  <c r="AK26" i="24"/>
  <c r="S26" i="25" s="1"/>
  <c r="AK38" i="24"/>
  <c r="S38" i="25" s="1"/>
  <c r="AK50" i="24"/>
  <c r="AK62" i="24"/>
  <c r="S62" i="25" s="1"/>
  <c r="AK74" i="24"/>
  <c r="S74" i="25" s="1"/>
  <c r="AK86" i="24"/>
  <c r="S86" i="25" s="1"/>
  <c r="AK98" i="24"/>
  <c r="AK110" i="24"/>
  <c r="AK122" i="24"/>
  <c r="AK134" i="24"/>
  <c r="AK15" i="24"/>
  <c r="AK27" i="24"/>
  <c r="S27" i="25" s="1"/>
  <c r="AK39" i="24"/>
  <c r="S39" i="25" s="1"/>
  <c r="AK51" i="24"/>
  <c r="S51" i="25" s="1"/>
  <c r="AK63" i="24"/>
  <c r="AK75" i="24"/>
  <c r="S75" i="25" s="1"/>
  <c r="AK87" i="24"/>
  <c r="S87" i="25" s="1"/>
  <c r="AK99" i="24"/>
  <c r="S99" i="25" s="1"/>
  <c r="AK111" i="24"/>
  <c r="S111" i="25" s="1"/>
  <c r="AK123" i="24"/>
  <c r="S123" i="25" s="1"/>
  <c r="AK135" i="24"/>
  <c r="AK16" i="24"/>
  <c r="AK28" i="24"/>
  <c r="AK40" i="24"/>
  <c r="S40" i="25" s="1"/>
  <c r="AK52" i="24"/>
  <c r="S52" i="25" s="1"/>
  <c r="AK64" i="24"/>
  <c r="S64" i="25" s="1"/>
  <c r="AK76" i="24"/>
  <c r="S76" i="25" s="1"/>
  <c r="AK88" i="24"/>
  <c r="S88" i="25" s="1"/>
  <c r="AK100" i="24"/>
  <c r="S100" i="25" s="1"/>
  <c r="AK112" i="24"/>
  <c r="S112" i="25" s="1"/>
  <c r="AK124" i="24"/>
  <c r="AK136" i="24"/>
  <c r="AK5" i="24"/>
  <c r="AK54" i="24"/>
  <c r="AK102" i="24"/>
  <c r="AK6" i="24"/>
  <c r="S6" i="25" s="1"/>
  <c r="AK55" i="24"/>
  <c r="S55" i="25" s="1"/>
  <c r="AK103" i="24"/>
  <c r="S103" i="25" s="1"/>
  <c r="AK18" i="24"/>
  <c r="S18" i="25" s="1"/>
  <c r="AK66" i="24"/>
  <c r="S66" i="25" s="1"/>
  <c r="AK114" i="24"/>
  <c r="S114" i="25" s="1"/>
  <c r="AK19" i="24"/>
  <c r="S19" i="25" s="1"/>
  <c r="AK67" i="24"/>
  <c r="S67" i="25" s="1"/>
  <c r="AK115" i="24"/>
  <c r="AK29" i="24"/>
  <c r="AK77" i="24"/>
  <c r="AK125" i="24"/>
  <c r="AK30" i="24"/>
  <c r="S30" i="25" s="1"/>
  <c r="AK78" i="24"/>
  <c r="S78" i="25" s="1"/>
  <c r="AK126" i="24"/>
  <c r="AK31" i="24"/>
  <c r="AK79" i="24"/>
  <c r="S79" i="25" s="1"/>
  <c r="AK127" i="24"/>
  <c r="S127" i="25" s="1"/>
  <c r="AK41" i="24"/>
  <c r="S41" i="25" s="1"/>
  <c r="AK89" i="24"/>
  <c r="AK4" i="24"/>
  <c r="S4" i="25" s="1"/>
  <c r="AK42" i="24"/>
  <c r="AK90" i="24"/>
  <c r="AK17" i="24"/>
  <c r="AK43" i="24"/>
  <c r="AK53" i="24"/>
  <c r="S53" i="25" s="1"/>
  <c r="AK65" i="24"/>
  <c r="S65" i="25" s="1"/>
  <c r="AK91" i="24"/>
  <c r="S91" i="25" s="1"/>
  <c r="AK101" i="24"/>
  <c r="S101" i="25" s="1"/>
  <c r="AK113" i="24"/>
  <c r="S113" i="25" s="1"/>
  <c r="Z15" i="24"/>
  <c r="H15" i="25" s="1"/>
  <c r="Z27" i="24"/>
  <c r="H27" i="25" s="1"/>
  <c r="Z39" i="24"/>
  <c r="Z5" i="24"/>
  <c r="Z17" i="24"/>
  <c r="Z29" i="24"/>
  <c r="Z41" i="24"/>
  <c r="Z53" i="24"/>
  <c r="H53" i="25" s="1"/>
  <c r="Z65" i="24"/>
  <c r="H65" i="25" s="1"/>
  <c r="Z77" i="24"/>
  <c r="H77" i="25" s="1"/>
  <c r="Z89" i="24"/>
  <c r="H89" i="25" s="1"/>
  <c r="Z101" i="24"/>
  <c r="H101" i="25" s="1"/>
  <c r="Z113" i="24"/>
  <c r="H113" i="25" s="1"/>
  <c r="Z125" i="24"/>
  <c r="H125" i="25" s="1"/>
  <c r="Z4" i="24"/>
  <c r="Z6" i="24"/>
  <c r="Z18" i="24"/>
  <c r="Z30" i="24"/>
  <c r="Z42" i="24"/>
  <c r="H42" i="25" s="1"/>
  <c r="Z54" i="24"/>
  <c r="H54" i="25" s="1"/>
  <c r="Z66" i="24"/>
  <c r="Z78" i="24"/>
  <c r="Z90" i="24"/>
  <c r="H90" i="25" s="1"/>
  <c r="Z102" i="24"/>
  <c r="H102" i="25" s="1"/>
  <c r="Z114" i="24"/>
  <c r="H114" i="25" s="1"/>
  <c r="Z126" i="24"/>
  <c r="Z7" i="24"/>
  <c r="H7" i="25" s="1"/>
  <c r="Z19" i="24"/>
  <c r="Z31" i="24"/>
  <c r="Z43" i="24"/>
  <c r="Z55" i="24"/>
  <c r="Z67" i="24"/>
  <c r="H67" i="25" s="1"/>
  <c r="Z79" i="24"/>
  <c r="H79" i="25" s="1"/>
  <c r="Z91" i="24"/>
  <c r="Z103" i="24"/>
  <c r="H103" i="25" s="1"/>
  <c r="Z115" i="24"/>
  <c r="H115" i="25" s="1"/>
  <c r="Z127" i="24"/>
  <c r="H127" i="25" s="1"/>
  <c r="Z8" i="24"/>
  <c r="H8" i="25" s="1"/>
  <c r="Z20" i="24"/>
  <c r="H20" i="25" s="1"/>
  <c r="Z32" i="24"/>
  <c r="Z44" i="24"/>
  <c r="Z56" i="24"/>
  <c r="Z68" i="24"/>
  <c r="H68" i="25" s="1"/>
  <c r="Z80" i="24"/>
  <c r="Z92" i="24"/>
  <c r="H92" i="25" s="1"/>
  <c r="Z104" i="24"/>
  <c r="Z116" i="24"/>
  <c r="H116" i="25" s="1"/>
  <c r="Z128" i="24"/>
  <c r="H128" i="25" s="1"/>
  <c r="Z9" i="24"/>
  <c r="H9" i="25" s="1"/>
  <c r="Z21" i="24"/>
  <c r="H21" i="25" s="1"/>
  <c r="Z33" i="24"/>
  <c r="Z45" i="24"/>
  <c r="Z57" i="24"/>
  <c r="Z69" i="24"/>
  <c r="Z81" i="24"/>
  <c r="H81" i="25" s="1"/>
  <c r="Z93" i="24"/>
  <c r="H93" i="25" s="1"/>
  <c r="Z105" i="24"/>
  <c r="H105" i="25" s="1"/>
  <c r="Z117" i="24"/>
  <c r="H117" i="25" s="1"/>
  <c r="Z129" i="24"/>
  <c r="H129" i="25" s="1"/>
  <c r="Z28" i="24"/>
  <c r="H28" i="25" s="1"/>
  <c r="Z51" i="24"/>
  <c r="H51" i="25" s="1"/>
  <c r="Z73" i="24"/>
  <c r="Z95" i="24"/>
  <c r="H95" i="25" s="1"/>
  <c r="Z112" i="24"/>
  <c r="Z134" i="24"/>
  <c r="Z10" i="24"/>
  <c r="Z34" i="24"/>
  <c r="H34" i="25" s="1"/>
  <c r="Z52" i="24"/>
  <c r="H52" i="25" s="1"/>
  <c r="Z74" i="24"/>
  <c r="H74" i="25" s="1"/>
  <c r="Z96" i="24"/>
  <c r="Z118" i="24"/>
  <c r="H118" i="25" s="1"/>
  <c r="Z135" i="24"/>
  <c r="H135" i="25" s="1"/>
  <c r="Z11" i="24"/>
  <c r="H11" i="25" s="1"/>
  <c r="Z35" i="24"/>
  <c r="H35" i="25" s="1"/>
  <c r="Z58" i="24"/>
  <c r="H58" i="25" s="1"/>
  <c r="Z75" i="24"/>
  <c r="Z97" i="24"/>
  <c r="Z119" i="24"/>
  <c r="Z136" i="24"/>
  <c r="H136" i="25" s="1"/>
  <c r="Z12" i="24"/>
  <c r="H12" i="25" s="1"/>
  <c r="Z36" i="24"/>
  <c r="H36" i="25" s="1"/>
  <c r="Z59" i="24"/>
  <c r="H59" i="25" s="1"/>
  <c r="Z76" i="24"/>
  <c r="H76" i="25" s="1"/>
  <c r="Z98" i="24"/>
  <c r="H98" i="25" s="1"/>
  <c r="Z120" i="24"/>
  <c r="H120" i="25" s="1"/>
  <c r="Z13" i="24"/>
  <c r="H13" i="25" s="1"/>
  <c r="Z37" i="24"/>
  <c r="Z60" i="24"/>
  <c r="Z82" i="24"/>
  <c r="Z99" i="24"/>
  <c r="Z121" i="24"/>
  <c r="Z14" i="24"/>
  <c r="Z38" i="24"/>
  <c r="H38" i="25" s="1"/>
  <c r="Z61" i="24"/>
  <c r="Z83" i="24"/>
  <c r="H83" i="25" s="1"/>
  <c r="Z100" i="24"/>
  <c r="H100" i="25" s="1"/>
  <c r="Z122" i="24"/>
  <c r="H122" i="25" s="1"/>
  <c r="Z16" i="24"/>
  <c r="H16" i="25" s="1"/>
  <c r="Z40" i="24"/>
  <c r="H40" i="25" s="1"/>
  <c r="Z62" i="24"/>
  <c r="Z84" i="24"/>
  <c r="Z106" i="24"/>
  <c r="Z123" i="24"/>
  <c r="H123" i="25" s="1"/>
  <c r="Z22" i="24"/>
  <c r="H22" i="25" s="1"/>
  <c r="Z46" i="24"/>
  <c r="H46" i="25" s="1"/>
  <c r="Z63" i="24"/>
  <c r="Z85" i="24"/>
  <c r="H85" i="25" s="1"/>
  <c r="Z107" i="24"/>
  <c r="H107" i="25" s="1"/>
  <c r="Z124" i="24"/>
  <c r="H124" i="25" s="1"/>
  <c r="Z23" i="24"/>
  <c r="Z47" i="24"/>
  <c r="Z64" i="24"/>
  <c r="Z86" i="24"/>
  <c r="Z108" i="24"/>
  <c r="H108" i="25" s="1"/>
  <c r="Z130" i="24"/>
  <c r="Z24" i="24"/>
  <c r="H24" i="25" s="1"/>
  <c r="Z48" i="24"/>
  <c r="H48" i="25" s="1"/>
  <c r="Z70" i="24"/>
  <c r="H70" i="25" s="1"/>
  <c r="Z87" i="24"/>
  <c r="H87" i="25" s="1"/>
  <c r="Z109" i="24"/>
  <c r="H109" i="25" s="1"/>
  <c r="Z131" i="24"/>
  <c r="H131" i="25" s="1"/>
  <c r="Z94" i="24"/>
  <c r="H94" i="25" s="1"/>
  <c r="Z110" i="24"/>
  <c r="Z111" i="24"/>
  <c r="Z88" i="24"/>
  <c r="Z132" i="24"/>
  <c r="Z49" i="24"/>
  <c r="H49" i="25" s="1"/>
  <c r="Z50" i="24"/>
  <c r="H50" i="25" s="1"/>
  <c r="Z72" i="24"/>
  <c r="H72" i="25" s="1"/>
  <c r="Z133" i="24"/>
  <c r="Z26" i="24"/>
  <c r="H26" i="25" s="1"/>
  <c r="Z71" i="24"/>
  <c r="H71" i="25" s="1"/>
  <c r="Z25" i="24"/>
  <c r="H25" i="25" s="1"/>
  <c r="AE16" i="24"/>
  <c r="AE6" i="24"/>
  <c r="M6" i="25" s="1"/>
  <c r="AE18" i="24"/>
  <c r="AE30" i="24"/>
  <c r="AE42" i="24"/>
  <c r="M42" i="25" s="1"/>
  <c r="AE54" i="24"/>
  <c r="M54" i="25" s="1"/>
  <c r="AE66" i="24"/>
  <c r="M66" i="25" s="1"/>
  <c r="AE78" i="24"/>
  <c r="M78" i="25" s="1"/>
  <c r="AE90" i="24"/>
  <c r="M90" i="25" s="1"/>
  <c r="AE102" i="24"/>
  <c r="M102" i="25" s="1"/>
  <c r="AE114" i="24"/>
  <c r="M114" i="25" s="1"/>
  <c r="AE126" i="24"/>
  <c r="M126" i="25" s="1"/>
  <c r="AE7" i="24"/>
  <c r="AE19" i="24"/>
  <c r="M19" i="25" s="1"/>
  <c r="AE31" i="24"/>
  <c r="AE43" i="24"/>
  <c r="AE55" i="24"/>
  <c r="AE67" i="24"/>
  <c r="AE79" i="24"/>
  <c r="M79" i="25" s="1"/>
  <c r="AE91" i="24"/>
  <c r="M91" i="25" s="1"/>
  <c r="AE103" i="24"/>
  <c r="AE115" i="24"/>
  <c r="M115" i="25" s="1"/>
  <c r="AE127" i="24"/>
  <c r="M127" i="25" s="1"/>
  <c r="AE8" i="24"/>
  <c r="M8" i="25" s="1"/>
  <c r="AE20" i="24"/>
  <c r="M20" i="25" s="1"/>
  <c r="AE32" i="24"/>
  <c r="M32" i="25" s="1"/>
  <c r="AE44" i="24"/>
  <c r="AE56" i="24"/>
  <c r="AE68" i="24"/>
  <c r="M68" i="25" s="1"/>
  <c r="AE80" i="24"/>
  <c r="AE92" i="24"/>
  <c r="M92" i="25" s="1"/>
  <c r="AE104" i="24"/>
  <c r="M104" i="25" s="1"/>
  <c r="AE116" i="24"/>
  <c r="AE128" i="24"/>
  <c r="M128" i="25" s="1"/>
  <c r="AE9" i="24"/>
  <c r="M9" i="25" s="1"/>
  <c r="AE21" i="24"/>
  <c r="M21" i="25" s="1"/>
  <c r="AE33" i="24"/>
  <c r="M33" i="25" s="1"/>
  <c r="AE45" i="24"/>
  <c r="AE57" i="24"/>
  <c r="AE69" i="24"/>
  <c r="AE81" i="24"/>
  <c r="AE93" i="24"/>
  <c r="M93" i="25" s="1"/>
  <c r="AE105" i="24"/>
  <c r="M105" i="25" s="1"/>
  <c r="AE117" i="24"/>
  <c r="M117" i="25" s="1"/>
  <c r="AE129" i="24"/>
  <c r="AE10" i="24"/>
  <c r="M10" i="25" s="1"/>
  <c r="AE22" i="24"/>
  <c r="M22" i="25" s="1"/>
  <c r="AE34" i="24"/>
  <c r="M34" i="25" s="1"/>
  <c r="AE46" i="24"/>
  <c r="AE58" i="24"/>
  <c r="M58" i="25" s="1"/>
  <c r="AE70" i="24"/>
  <c r="AE82" i="24"/>
  <c r="AE94" i="24"/>
  <c r="M94" i="25" s="1"/>
  <c r="AE106" i="24"/>
  <c r="M106" i="25" s="1"/>
  <c r="AE118" i="24"/>
  <c r="M118" i="25" s="1"/>
  <c r="AE130" i="24"/>
  <c r="M130" i="25" s="1"/>
  <c r="AE11" i="24"/>
  <c r="AE23" i="24"/>
  <c r="M23" i="25" s="1"/>
  <c r="AE35" i="24"/>
  <c r="M35" i="25" s="1"/>
  <c r="AE47" i="24"/>
  <c r="M47" i="25" s="1"/>
  <c r="AE59" i="24"/>
  <c r="M59" i="25" s="1"/>
  <c r="AE71" i="24"/>
  <c r="AE83" i="24"/>
  <c r="AE95" i="24"/>
  <c r="M95" i="25" s="1"/>
  <c r="AE107" i="24"/>
  <c r="AE119" i="24"/>
  <c r="AE131" i="24"/>
  <c r="M131" i="25" s="1"/>
  <c r="AE25" i="24"/>
  <c r="M25" i="25" s="1"/>
  <c r="AE49" i="24"/>
  <c r="AE73" i="24"/>
  <c r="M73" i="25" s="1"/>
  <c r="AE97" i="24"/>
  <c r="M97" i="25" s="1"/>
  <c r="AE121" i="24"/>
  <c r="M121" i="25" s="1"/>
  <c r="AE26" i="24"/>
  <c r="AE50" i="24"/>
  <c r="AE74" i="24"/>
  <c r="AE98" i="24"/>
  <c r="M98" i="25" s="1"/>
  <c r="AE122" i="24"/>
  <c r="AE28" i="24"/>
  <c r="M28" i="25" s="1"/>
  <c r="AE52" i="24"/>
  <c r="M52" i="25" s="1"/>
  <c r="AE76" i="24"/>
  <c r="M76" i="25" s="1"/>
  <c r="AE100" i="24"/>
  <c r="M100" i="25" s="1"/>
  <c r="AE124" i="24"/>
  <c r="M124" i="25" s="1"/>
  <c r="AE29" i="24"/>
  <c r="M29" i="25" s="1"/>
  <c r="AE53" i="24"/>
  <c r="M53" i="25" s="1"/>
  <c r="AE77" i="24"/>
  <c r="M77" i="25" s="1"/>
  <c r="AE101" i="24"/>
  <c r="AE125" i="24"/>
  <c r="AE5" i="24"/>
  <c r="AE36" i="24"/>
  <c r="AE60" i="24"/>
  <c r="M60" i="25" s="1"/>
  <c r="AE84" i="24"/>
  <c r="M84" i="25" s="1"/>
  <c r="AE108" i="24"/>
  <c r="M108" i="25" s="1"/>
  <c r="AE132" i="24"/>
  <c r="M132" i="25" s="1"/>
  <c r="AE12" i="24"/>
  <c r="M12" i="25" s="1"/>
  <c r="AE37" i="24"/>
  <c r="M37" i="25" s="1"/>
  <c r="AE61" i="24"/>
  <c r="M61" i="25" s="1"/>
  <c r="AE85" i="24"/>
  <c r="M85" i="25" s="1"/>
  <c r="AE109" i="24"/>
  <c r="AE133" i="24"/>
  <c r="AE13" i="24"/>
  <c r="AE38" i="24"/>
  <c r="M38" i="25" s="1"/>
  <c r="AE62" i="24"/>
  <c r="AE86" i="24"/>
  <c r="M86" i="25" s="1"/>
  <c r="AE110" i="24"/>
  <c r="M110" i="25" s="1"/>
  <c r="AE134" i="24"/>
  <c r="AE15" i="24"/>
  <c r="M15" i="25" s="1"/>
  <c r="AE40" i="24"/>
  <c r="M40" i="25" s="1"/>
  <c r="AE64" i="24"/>
  <c r="M64" i="25" s="1"/>
  <c r="AE88" i="24"/>
  <c r="AE112" i="24"/>
  <c r="AE136" i="24"/>
  <c r="AE48" i="24"/>
  <c r="AE120" i="24"/>
  <c r="M120" i="25" s="1"/>
  <c r="AE51" i="24"/>
  <c r="M51" i="25" s="1"/>
  <c r="AE123" i="24"/>
  <c r="M123" i="25" s="1"/>
  <c r="AE63" i="24"/>
  <c r="M63" i="25" s="1"/>
  <c r="AE135" i="24"/>
  <c r="AE65" i="24"/>
  <c r="M65" i="25" s="1"/>
  <c r="AE4" i="24"/>
  <c r="M4" i="25" s="1"/>
  <c r="AE72" i="24"/>
  <c r="M72" i="25" s="1"/>
  <c r="AE75" i="24"/>
  <c r="AE14" i="24"/>
  <c r="AE87" i="24"/>
  <c r="AE17" i="24"/>
  <c r="AE89" i="24"/>
  <c r="M89" i="25" s="1"/>
  <c r="AE24" i="24"/>
  <c r="M24" i="25" s="1"/>
  <c r="AE96" i="24"/>
  <c r="M96" i="25" s="1"/>
  <c r="AE27" i="24"/>
  <c r="M27" i="25" s="1"/>
  <c r="AE99" i="24"/>
  <c r="AE39" i="24"/>
  <c r="M39" i="25" s="1"/>
  <c r="AE41" i="24"/>
  <c r="M41" i="25" s="1"/>
  <c r="AE111" i="24"/>
  <c r="M111" i="25" s="1"/>
  <c r="AE113" i="24"/>
  <c r="T15" i="24"/>
  <c r="B15" i="25" s="1"/>
  <c r="T7" i="24"/>
  <c r="T19" i="24"/>
  <c r="T31" i="24"/>
  <c r="T43" i="24"/>
  <c r="B43" i="25" s="1"/>
  <c r="T55" i="24"/>
  <c r="B55" i="25" s="1"/>
  <c r="T67" i="24"/>
  <c r="B67" i="25" s="1"/>
  <c r="T79" i="24"/>
  <c r="B79" i="25" s="1"/>
  <c r="T91" i="24"/>
  <c r="B91" i="25" s="1"/>
  <c r="T103" i="24"/>
  <c r="B103" i="25" s="1"/>
  <c r="T115" i="24"/>
  <c r="B115" i="25" s="1"/>
  <c r="T127" i="24"/>
  <c r="B127" i="25" s="1"/>
  <c r="T4" i="24"/>
  <c r="B4" i="25" s="1"/>
  <c r="T10" i="24"/>
  <c r="T22" i="24"/>
  <c r="T34" i="24"/>
  <c r="T46" i="24"/>
  <c r="B46" i="25" s="1"/>
  <c r="T58" i="24"/>
  <c r="B58" i="25" s="1"/>
  <c r="T70" i="24"/>
  <c r="B70" i="25" s="1"/>
  <c r="T82" i="24"/>
  <c r="B82" i="25" s="1"/>
  <c r="T94" i="24"/>
  <c r="B94" i="25" s="1"/>
  <c r="T106" i="24"/>
  <c r="B106" i="25" s="1"/>
  <c r="T118" i="24"/>
  <c r="B118" i="25" s="1"/>
  <c r="T130" i="24"/>
  <c r="B130" i="25" s="1"/>
  <c r="T11" i="24"/>
  <c r="B11" i="25" s="1"/>
  <c r="T23" i="24"/>
  <c r="T35" i="24"/>
  <c r="T47" i="24"/>
  <c r="T59" i="24"/>
  <c r="T71" i="24"/>
  <c r="B71" i="25" s="1"/>
  <c r="T83" i="24"/>
  <c r="B83" i="25" s="1"/>
  <c r="T95" i="24"/>
  <c r="T107" i="24"/>
  <c r="B107" i="25" s="1"/>
  <c r="T119" i="24"/>
  <c r="B119" i="25" s="1"/>
  <c r="T131" i="24"/>
  <c r="B131" i="25" s="1"/>
  <c r="T12" i="24"/>
  <c r="T24" i="24"/>
  <c r="T36" i="24"/>
  <c r="T48" i="24"/>
  <c r="T60" i="24"/>
  <c r="T72" i="24"/>
  <c r="T84" i="24"/>
  <c r="B84" i="25" s="1"/>
  <c r="T96" i="24"/>
  <c r="B96" i="25" s="1"/>
  <c r="T108" i="24"/>
  <c r="T120" i="24"/>
  <c r="B120" i="25" s="1"/>
  <c r="T132" i="24"/>
  <c r="B132" i="25" s="1"/>
  <c r="T64" i="24"/>
  <c r="B64" i="25" s="1"/>
  <c r="T65" i="24"/>
  <c r="T30" i="24"/>
  <c r="T123" i="24"/>
  <c r="T88" i="24"/>
  <c r="T14" i="24"/>
  <c r="T17" i="24"/>
  <c r="T37" i="24"/>
  <c r="B37" i="25" s="1"/>
  <c r="T53" i="24"/>
  <c r="B53" i="25" s="1"/>
  <c r="T73" i="24"/>
  <c r="B73" i="25" s="1"/>
  <c r="T89" i="24"/>
  <c r="B89" i="25" s="1"/>
  <c r="T109" i="24"/>
  <c r="B109" i="25" s="1"/>
  <c r="T125" i="24"/>
  <c r="B125" i="25" s="1"/>
  <c r="T18" i="24"/>
  <c r="T38" i="24"/>
  <c r="T54" i="24"/>
  <c r="T74" i="24"/>
  <c r="T90" i="24"/>
  <c r="B90" i="25" s="1"/>
  <c r="T110" i="24"/>
  <c r="B110" i="25" s="1"/>
  <c r="T126" i="24"/>
  <c r="B126" i="25" s="1"/>
  <c r="T20" i="24"/>
  <c r="B20" i="25" s="1"/>
  <c r="T39" i="24"/>
  <c r="T56" i="24"/>
  <c r="B56" i="25" s="1"/>
  <c r="T75" i="24"/>
  <c r="B75" i="25" s="1"/>
  <c r="T92" i="24"/>
  <c r="B92" i="25" s="1"/>
  <c r="T111" i="24"/>
  <c r="B111" i="25" s="1"/>
  <c r="T128" i="24"/>
  <c r="B128" i="25" s="1"/>
  <c r="T102" i="24"/>
  <c r="T104" i="24"/>
  <c r="T124" i="24"/>
  <c r="T21" i="24"/>
  <c r="B21" i="25" s="1"/>
  <c r="T40" i="24"/>
  <c r="B40" i="25" s="1"/>
  <c r="T57" i="24"/>
  <c r="B57" i="25" s="1"/>
  <c r="T76" i="24"/>
  <c r="B76" i="25" s="1"/>
  <c r="T93" i="24"/>
  <c r="B93" i="25" s="1"/>
  <c r="T112" i="24"/>
  <c r="B112" i="25" s="1"/>
  <c r="T129" i="24"/>
  <c r="T25" i="24"/>
  <c r="T61" i="24"/>
  <c r="T77" i="24"/>
  <c r="T113" i="24"/>
  <c r="T133" i="24"/>
  <c r="T27" i="24"/>
  <c r="B27" i="25" s="1"/>
  <c r="T63" i="24"/>
  <c r="B63" i="25" s="1"/>
  <c r="T80" i="24"/>
  <c r="B80" i="25" s="1"/>
  <c r="T116" i="24"/>
  <c r="B116" i="25" s="1"/>
  <c r="T8" i="24"/>
  <c r="B8" i="25" s="1"/>
  <c r="T28" i="24"/>
  <c r="B28" i="25" s="1"/>
  <c r="T81" i="24"/>
  <c r="B81" i="25" s="1"/>
  <c r="T117" i="24"/>
  <c r="B117" i="25" s="1"/>
  <c r="T29" i="24"/>
  <c r="B29" i="25" s="1"/>
  <c r="T85" i="24"/>
  <c r="T121" i="24"/>
  <c r="T13" i="24"/>
  <c r="T66" i="24"/>
  <c r="B66" i="25" s="1"/>
  <c r="T122" i="24"/>
  <c r="B122" i="25" s="1"/>
  <c r="T32" i="24"/>
  <c r="B32" i="25" s="1"/>
  <c r="T52" i="24"/>
  <c r="T41" i="24"/>
  <c r="B41" i="25" s="1"/>
  <c r="T97" i="24"/>
  <c r="B97" i="25" s="1"/>
  <c r="T44" i="24"/>
  <c r="B44" i="25" s="1"/>
  <c r="T99" i="24"/>
  <c r="T135" i="24"/>
  <c r="T45" i="24"/>
  <c r="T100" i="24"/>
  <c r="T136" i="24"/>
  <c r="T9" i="24"/>
  <c r="B9" i="25" s="1"/>
  <c r="T49" i="24"/>
  <c r="B49" i="25" s="1"/>
  <c r="T101" i="24"/>
  <c r="B101" i="25" s="1"/>
  <c r="T6" i="24"/>
  <c r="B6" i="25" s="1"/>
  <c r="T50" i="24"/>
  <c r="B50" i="25" s="1"/>
  <c r="T86" i="24"/>
  <c r="B86" i="25" s="1"/>
  <c r="T5" i="24"/>
  <c r="B5" i="25" s="1"/>
  <c r="T51" i="24"/>
  <c r="T68" i="24"/>
  <c r="B68" i="25" s="1"/>
  <c r="T87" i="24"/>
  <c r="T16" i="24"/>
  <c r="T33" i="24"/>
  <c r="T69" i="24"/>
  <c r="T105" i="24"/>
  <c r="B105" i="25" s="1"/>
  <c r="T26" i="24"/>
  <c r="B26" i="25" s="1"/>
  <c r="T42" i="24"/>
  <c r="B42" i="25" s="1"/>
  <c r="T62" i="24"/>
  <c r="B62" i="25" s="1"/>
  <c r="T78" i="24"/>
  <c r="B78" i="25" s="1"/>
  <c r="T98" i="24"/>
  <c r="B98" i="25" s="1"/>
  <c r="T114" i="24"/>
  <c r="T134" i="24"/>
  <c r="AI7" i="24"/>
  <c r="AI19" i="24"/>
  <c r="AI31" i="24"/>
  <c r="AI43" i="24"/>
  <c r="AI55" i="24"/>
  <c r="Q55" i="25" s="1"/>
  <c r="AI67" i="24"/>
  <c r="Q67" i="25" s="1"/>
  <c r="AI79" i="24"/>
  <c r="AI91" i="24"/>
  <c r="Q91" i="25" s="1"/>
  <c r="AI103" i="24"/>
  <c r="Q103" i="25" s="1"/>
  <c r="AI115" i="24"/>
  <c r="Q115" i="25" s="1"/>
  <c r="AI127" i="24"/>
  <c r="AI8" i="24"/>
  <c r="AI20" i="24"/>
  <c r="AI32" i="24"/>
  <c r="AI44" i="24"/>
  <c r="Q44" i="25" s="1"/>
  <c r="AI56" i="24"/>
  <c r="AI68" i="24"/>
  <c r="Q68" i="25" s="1"/>
  <c r="AI9" i="24"/>
  <c r="Q9" i="25" s="1"/>
  <c r="AI21" i="24"/>
  <c r="AI33" i="24"/>
  <c r="Q33" i="25" s="1"/>
  <c r="AI45" i="24"/>
  <c r="Q45" i="25" s="1"/>
  <c r="AI57" i="24"/>
  <c r="Q57" i="25" s="1"/>
  <c r="AI69" i="24"/>
  <c r="AI81" i="24"/>
  <c r="AI93" i="24"/>
  <c r="AI105" i="24"/>
  <c r="AI117" i="24"/>
  <c r="AI129" i="24"/>
  <c r="Q129" i="25" s="1"/>
  <c r="AI10" i="24"/>
  <c r="Q10" i="25" s="1"/>
  <c r="AI22" i="24"/>
  <c r="Q22" i="25" s="1"/>
  <c r="AI34" i="24"/>
  <c r="AI46" i="24"/>
  <c r="Q46" i="25" s="1"/>
  <c r="AI58" i="24"/>
  <c r="Q58" i="25" s="1"/>
  <c r="AI70" i="24"/>
  <c r="Q70" i="25" s="1"/>
  <c r="AI82" i="24"/>
  <c r="Q82" i="25" s="1"/>
  <c r="AI94" i="24"/>
  <c r="AI106" i="24"/>
  <c r="AI118" i="24"/>
  <c r="AI130" i="24"/>
  <c r="AI11" i="24"/>
  <c r="AI23" i="24"/>
  <c r="Q23" i="25" s="1"/>
  <c r="AI35" i="24"/>
  <c r="Q35" i="25" s="1"/>
  <c r="AI47" i="24"/>
  <c r="AI59" i="24"/>
  <c r="Q59" i="25" s="1"/>
  <c r="AI71" i="24"/>
  <c r="Q71" i="25" s="1"/>
  <c r="AI83" i="24"/>
  <c r="Q83" i="25" s="1"/>
  <c r="AI95" i="24"/>
  <c r="Q95" i="25" s="1"/>
  <c r="AI107" i="24"/>
  <c r="AI119" i="24"/>
  <c r="AI131" i="24"/>
  <c r="AI12" i="24"/>
  <c r="AI24" i="24"/>
  <c r="Q24" i="25" s="1"/>
  <c r="AI36" i="24"/>
  <c r="Q36" i="25" s="1"/>
  <c r="AI48" i="24"/>
  <c r="Q48" i="25" s="1"/>
  <c r="AI60" i="24"/>
  <c r="AI72" i="24"/>
  <c r="Q72" i="25" s="1"/>
  <c r="AI84" i="24"/>
  <c r="Q84" i="25" s="1"/>
  <c r="AI96" i="24"/>
  <c r="Q96" i="25" s="1"/>
  <c r="AI108" i="24"/>
  <c r="AI120" i="24"/>
  <c r="Q120" i="25" s="1"/>
  <c r="AI132" i="24"/>
  <c r="AI13" i="24"/>
  <c r="AI25" i="24"/>
  <c r="AI37" i="24"/>
  <c r="Q37" i="25" s="1"/>
  <c r="AI49" i="24"/>
  <c r="Q49" i="25" s="1"/>
  <c r="AI61" i="24"/>
  <c r="Q61" i="25" s="1"/>
  <c r="AI73" i="24"/>
  <c r="Q73" i="25" s="1"/>
  <c r="AI85" i="24"/>
  <c r="Q85" i="25" s="1"/>
  <c r="AI97" i="24"/>
  <c r="Q97" i="25" s="1"/>
  <c r="AI109" i="24"/>
  <c r="Q109" i="25" s="1"/>
  <c r="AI121" i="24"/>
  <c r="AI133" i="24"/>
  <c r="AI14" i="24"/>
  <c r="AI26" i="24"/>
  <c r="AI38" i="24"/>
  <c r="AI50" i="24"/>
  <c r="Q50" i="25" s="1"/>
  <c r="AI62" i="24"/>
  <c r="Q62" i="25" s="1"/>
  <c r="AI74" i="24"/>
  <c r="Q74" i="25" s="1"/>
  <c r="AI86" i="24"/>
  <c r="Q86" i="25" s="1"/>
  <c r="AI98" i="24"/>
  <c r="Q98" i="25" s="1"/>
  <c r="AI110" i="24"/>
  <c r="Q110" i="25" s="1"/>
  <c r="AI122" i="24"/>
  <c r="Q122" i="25" s="1"/>
  <c r="AI134" i="24"/>
  <c r="AI28" i="24"/>
  <c r="AI64" i="24"/>
  <c r="AI92" i="24"/>
  <c r="AI124" i="24"/>
  <c r="AI29" i="24"/>
  <c r="AI65" i="24"/>
  <c r="Q65" i="25" s="1"/>
  <c r="AI99" i="24"/>
  <c r="Q99" i="25" s="1"/>
  <c r="AI125" i="24"/>
  <c r="Q125" i="25" s="1"/>
  <c r="AI39" i="24"/>
  <c r="Q39" i="25" s="1"/>
  <c r="AI75" i="24"/>
  <c r="Q75" i="25" s="1"/>
  <c r="AI101" i="24"/>
  <c r="Q101" i="25" s="1"/>
  <c r="AI128" i="24"/>
  <c r="AI40" i="24"/>
  <c r="Q40" i="25" s="1"/>
  <c r="AI76" i="24"/>
  <c r="AI102" i="24"/>
  <c r="AI135" i="24"/>
  <c r="AI5" i="24"/>
  <c r="Q5" i="25" s="1"/>
  <c r="AI41" i="24"/>
  <c r="Q41" i="25" s="1"/>
  <c r="AI77" i="24"/>
  <c r="Q77" i="25" s="1"/>
  <c r="AI104" i="24"/>
  <c r="Q104" i="25" s="1"/>
  <c r="AI136" i="24"/>
  <c r="Q136" i="25" s="1"/>
  <c r="AI6" i="24"/>
  <c r="Q6" i="25" s="1"/>
  <c r="AI42" i="24"/>
  <c r="Q42" i="25" s="1"/>
  <c r="AI78" i="24"/>
  <c r="AI111" i="24"/>
  <c r="AI4" i="24"/>
  <c r="AI15" i="24"/>
  <c r="AI51" i="24"/>
  <c r="AI80" i="24"/>
  <c r="Q80" i="25" s="1"/>
  <c r="AI112" i="24"/>
  <c r="Q112" i="25" s="1"/>
  <c r="AI16" i="24"/>
  <c r="Q16" i="25" s="1"/>
  <c r="AI52" i="24"/>
  <c r="Q52" i="25" s="1"/>
  <c r="AI87" i="24"/>
  <c r="Q87" i="25" s="1"/>
  <c r="AI113" i="24"/>
  <c r="Q113" i="25" s="1"/>
  <c r="AI17" i="24"/>
  <c r="Q17" i="25" s="1"/>
  <c r="AI53" i="24"/>
  <c r="AI88" i="24"/>
  <c r="Q88" i="25" s="1"/>
  <c r="AI114" i="24"/>
  <c r="AI66" i="24"/>
  <c r="AI89" i="24"/>
  <c r="AI90" i="24"/>
  <c r="AI100" i="24"/>
  <c r="Q100" i="25" s="1"/>
  <c r="AI116" i="24"/>
  <c r="Q116" i="25" s="1"/>
  <c r="AI123" i="24"/>
  <c r="AI126" i="24"/>
  <c r="Q126" i="25" s="1"/>
  <c r="AI18" i="24"/>
  <c r="Q18" i="25" s="1"/>
  <c r="AI27" i="24"/>
  <c r="Q27" i="25" s="1"/>
  <c r="AI30" i="24"/>
  <c r="AI54" i="24"/>
  <c r="AI63" i="24"/>
  <c r="Y16" i="24"/>
  <c r="Y28" i="24"/>
  <c r="Y40" i="24"/>
  <c r="G40" i="25" s="1"/>
  <c r="Y5" i="24"/>
  <c r="G5" i="25" s="1"/>
  <c r="Y17" i="24"/>
  <c r="G17" i="25" s="1"/>
  <c r="Y29" i="24"/>
  <c r="G29" i="25" s="1"/>
  <c r="Y41" i="24"/>
  <c r="G41" i="25" s="1"/>
  <c r="Y6" i="24"/>
  <c r="G6" i="25" s="1"/>
  <c r="Y18" i="24"/>
  <c r="G18" i="25" s="1"/>
  <c r="Y30" i="24"/>
  <c r="Y42" i="24"/>
  <c r="Y7" i="24"/>
  <c r="Y19" i="24"/>
  <c r="Y31" i="24"/>
  <c r="Y43" i="24"/>
  <c r="G43" i="25" s="1"/>
  <c r="Y8" i="24"/>
  <c r="G8" i="25" s="1"/>
  <c r="Y22" i="24"/>
  <c r="G22" i="25" s="1"/>
  <c r="Y38" i="24"/>
  <c r="G38" i="25" s="1"/>
  <c r="Y54" i="24"/>
  <c r="G54" i="25" s="1"/>
  <c r="Y66" i="24"/>
  <c r="G66" i="25" s="1"/>
  <c r="Y78" i="24"/>
  <c r="G78" i="25" s="1"/>
  <c r="Y90" i="24"/>
  <c r="G90" i="25" s="1"/>
  <c r="Y102" i="24"/>
  <c r="G102" i="25" s="1"/>
  <c r="Y114" i="24"/>
  <c r="Y126" i="24"/>
  <c r="Y23" i="24"/>
  <c r="G23" i="25" s="1"/>
  <c r="Y39" i="24"/>
  <c r="Y55" i="24"/>
  <c r="G55" i="25" s="1"/>
  <c r="Y67" i="24"/>
  <c r="G67" i="25" s="1"/>
  <c r="Y79" i="24"/>
  <c r="Y91" i="24"/>
  <c r="G91" i="25" s="1"/>
  <c r="Y103" i="24"/>
  <c r="G103" i="25" s="1"/>
  <c r="Y115" i="24"/>
  <c r="G115" i="25" s="1"/>
  <c r="Y127" i="24"/>
  <c r="Y24" i="24"/>
  <c r="G24" i="25" s="1"/>
  <c r="Y44" i="24"/>
  <c r="Y56" i="24"/>
  <c r="Y68" i="24"/>
  <c r="G68" i="25" s="1"/>
  <c r="Y80" i="24"/>
  <c r="G80" i="25" s="1"/>
  <c r="Y92" i="24"/>
  <c r="G92" i="25" s="1"/>
  <c r="Y104" i="24"/>
  <c r="G104" i="25" s="1"/>
  <c r="Y116" i="24"/>
  <c r="Y128" i="24"/>
  <c r="G128" i="25" s="1"/>
  <c r="Y9" i="24"/>
  <c r="G9" i="25" s="1"/>
  <c r="Y25" i="24"/>
  <c r="G25" i="25" s="1"/>
  <c r="Y45" i="24"/>
  <c r="Y57" i="24"/>
  <c r="G57" i="25" s="1"/>
  <c r="Y69" i="24"/>
  <c r="Y81" i="24"/>
  <c r="Y93" i="24"/>
  <c r="Y105" i="24"/>
  <c r="G105" i="25" s="1"/>
  <c r="Y117" i="24"/>
  <c r="G117" i="25" s="1"/>
  <c r="Y129" i="24"/>
  <c r="G129" i="25" s="1"/>
  <c r="Y10" i="24"/>
  <c r="Y26" i="24"/>
  <c r="G26" i="25" s="1"/>
  <c r="Y46" i="24"/>
  <c r="G46" i="25" s="1"/>
  <c r="Y58" i="24"/>
  <c r="G58" i="25" s="1"/>
  <c r="Y70" i="24"/>
  <c r="G70" i="25" s="1"/>
  <c r="Y82" i="24"/>
  <c r="Y94" i="24"/>
  <c r="Y106" i="24"/>
  <c r="Y118" i="24"/>
  <c r="Y130" i="24"/>
  <c r="G130" i="25" s="1"/>
  <c r="Y11" i="24"/>
  <c r="G11" i="25" s="1"/>
  <c r="Y27" i="24"/>
  <c r="G27" i="25" s="1"/>
  <c r="Y47" i="24"/>
  <c r="G47" i="25" s="1"/>
  <c r="Y59" i="24"/>
  <c r="G59" i="25" s="1"/>
  <c r="Y71" i="24"/>
  <c r="G71" i="25" s="1"/>
  <c r="Y83" i="24"/>
  <c r="G83" i="25" s="1"/>
  <c r="Y95" i="24"/>
  <c r="G95" i="25" s="1"/>
  <c r="Y107" i="24"/>
  <c r="G107" i="25" s="1"/>
  <c r="Y119" i="24"/>
  <c r="Y131" i="24"/>
  <c r="Y12" i="24"/>
  <c r="Y32" i="24"/>
  <c r="G32" i="25" s="1"/>
  <c r="Y48" i="24"/>
  <c r="G48" i="25" s="1"/>
  <c r="Y60" i="24"/>
  <c r="G60" i="25" s="1"/>
  <c r="Y72" i="24"/>
  <c r="Y84" i="24"/>
  <c r="G84" i="25" s="1"/>
  <c r="Y96" i="24"/>
  <c r="G96" i="25" s="1"/>
  <c r="Y108" i="24"/>
  <c r="G108" i="25" s="1"/>
  <c r="Y120" i="24"/>
  <c r="Y132" i="24"/>
  <c r="Y13" i="24"/>
  <c r="Y33" i="24"/>
  <c r="Y49" i="24"/>
  <c r="G49" i="25" s="1"/>
  <c r="Y61" i="24"/>
  <c r="G61" i="25" s="1"/>
  <c r="Y73" i="24"/>
  <c r="G73" i="25" s="1"/>
  <c r="Y85" i="24"/>
  <c r="G85" i="25" s="1"/>
  <c r="Y97" i="24"/>
  <c r="G97" i="25" s="1"/>
  <c r="Y109" i="24"/>
  <c r="G109" i="25" s="1"/>
  <c r="Y121" i="24"/>
  <c r="G121" i="25" s="1"/>
  <c r="Y133" i="24"/>
  <c r="G133" i="25" s="1"/>
  <c r="Y14" i="24"/>
  <c r="Y34" i="24"/>
  <c r="G34" i="25" s="1"/>
  <c r="Y50" i="24"/>
  <c r="Y62" i="24"/>
  <c r="Y74" i="24"/>
  <c r="Y86" i="24"/>
  <c r="G86" i="25" s="1"/>
  <c r="Y98" i="24"/>
  <c r="G98" i="25" s="1"/>
  <c r="Y110" i="24"/>
  <c r="G110" i="25" s="1"/>
  <c r="Y122" i="24"/>
  <c r="Y134" i="24"/>
  <c r="G134" i="25" s="1"/>
  <c r="Y15" i="24"/>
  <c r="G15" i="25" s="1"/>
  <c r="Y35" i="24"/>
  <c r="G35" i="25" s="1"/>
  <c r="Y51" i="24"/>
  <c r="Y63" i="24"/>
  <c r="Y75" i="24"/>
  <c r="Y87" i="24"/>
  <c r="Y99" i="24"/>
  <c r="G99" i="25" s="1"/>
  <c r="Y111" i="24"/>
  <c r="G111" i="25" s="1"/>
  <c r="Y123" i="24"/>
  <c r="G123" i="25" s="1"/>
  <c r="Y135" i="24"/>
  <c r="G135" i="25" s="1"/>
  <c r="Y112" i="24"/>
  <c r="G112" i="25" s="1"/>
  <c r="Y65" i="24"/>
  <c r="G65" i="25" s="1"/>
  <c r="Y4" i="24"/>
  <c r="G4" i="25" s="1"/>
  <c r="Y76" i="24"/>
  <c r="G76" i="25" s="1"/>
  <c r="Y77" i="24"/>
  <c r="G77" i="25" s="1"/>
  <c r="Y88" i="24"/>
  <c r="Y101" i="24"/>
  <c r="Y36" i="24"/>
  <c r="Y113" i="24"/>
  <c r="Y52" i="24"/>
  <c r="Y53" i="24"/>
  <c r="G53" i="25" s="1"/>
  <c r="Y64" i="24"/>
  <c r="G64" i="25" s="1"/>
  <c r="Y136" i="24"/>
  <c r="Y89" i="24"/>
  <c r="G89" i="25" s="1"/>
  <c r="Y21" i="24"/>
  <c r="G21" i="25" s="1"/>
  <c r="Y37" i="24"/>
  <c r="G37" i="25" s="1"/>
  <c r="Y124" i="24"/>
  <c r="Y125" i="24"/>
  <c r="Y20" i="24"/>
  <c r="Y100" i="24"/>
  <c r="BY36" i="24"/>
  <c r="G25" i="23"/>
  <c r="G29" i="23"/>
  <c r="G23" i="23"/>
  <c r="G26" i="23"/>
  <c r="G19" i="23"/>
  <c r="G30" i="23"/>
  <c r="BY83" i="24"/>
  <c r="BY17" i="24"/>
  <c r="BY12" i="24"/>
  <c r="BY127" i="24"/>
  <c r="BY135" i="24"/>
  <c r="BY133" i="24"/>
  <c r="BY55" i="24"/>
  <c r="BY122" i="24"/>
  <c r="BY125" i="24"/>
  <c r="BY19" i="24"/>
  <c r="AY39" i="24"/>
  <c r="BY13" i="24"/>
  <c r="BY130" i="24"/>
  <c r="BY129" i="24"/>
  <c r="BY5" i="24"/>
  <c r="AY61" i="24"/>
  <c r="BR61" i="24" s="1"/>
  <c r="AZ61" i="25" s="1"/>
  <c r="BY31" i="24"/>
  <c r="BY134" i="24"/>
  <c r="BY41" i="24"/>
  <c r="BY25" i="24"/>
  <c r="BY9" i="24"/>
  <c r="BY42" i="24"/>
  <c r="BY126" i="24"/>
  <c r="BY48" i="24"/>
  <c r="BY77" i="24"/>
  <c r="BY92" i="24"/>
  <c r="BY74" i="24"/>
  <c r="BY88" i="24"/>
  <c r="BY75" i="24"/>
  <c r="AY99" i="24"/>
  <c r="AG99" i="25" s="1"/>
  <c r="AY47" i="24"/>
  <c r="BR47" i="24" s="1"/>
  <c r="AZ47" i="25" s="1"/>
  <c r="BY8" i="24"/>
  <c r="BY10" i="24"/>
  <c r="BY11" i="24"/>
  <c r="BY81" i="24"/>
  <c r="BY82" i="24"/>
  <c r="BY23" i="24"/>
  <c r="BY85" i="24"/>
  <c r="AY125" i="24"/>
  <c r="BR125" i="24" s="1"/>
  <c r="AZ125" i="25" s="1"/>
  <c r="G24" i="23"/>
  <c r="G28" i="23"/>
  <c r="BY93" i="24"/>
  <c r="BY112" i="24"/>
  <c r="BY20" i="24"/>
  <c r="BY40" i="24"/>
  <c r="BY110" i="24"/>
  <c r="BY35" i="24"/>
  <c r="BY106" i="24"/>
  <c r="BY111" i="24"/>
  <c r="BY51" i="24"/>
  <c r="BY69" i="24"/>
  <c r="BY117" i="24"/>
  <c r="BY29" i="24"/>
  <c r="AY102" i="24"/>
  <c r="AG102" i="25" s="1"/>
  <c r="BY24" i="24"/>
  <c r="BY123" i="24"/>
  <c r="BY46" i="24"/>
  <c r="BY76" i="24"/>
  <c r="G62" i="24"/>
  <c r="BY104" i="24"/>
  <c r="BY28" i="24"/>
  <c r="BY67" i="24"/>
  <c r="BY118" i="24"/>
  <c r="BY59" i="24"/>
  <c r="BY114" i="24"/>
  <c r="BY119" i="24"/>
  <c r="BY58" i="24"/>
  <c r="BY73" i="24"/>
  <c r="BY121" i="24"/>
  <c r="BY115" i="24"/>
  <c r="BY54" i="24"/>
  <c r="BY47" i="24"/>
  <c r="BY52" i="24"/>
  <c r="BY68" i="24"/>
  <c r="BY116" i="24"/>
  <c r="BY80" i="24"/>
  <c r="BY97" i="24"/>
  <c r="BY96" i="24"/>
  <c r="BY26" i="24"/>
  <c r="BY37" i="24"/>
  <c r="AY57" i="24"/>
  <c r="BY107" i="24"/>
  <c r="BY71" i="24"/>
  <c r="BY70" i="24"/>
  <c r="BY56" i="24"/>
  <c r="BY62" i="24"/>
  <c r="BY84" i="24"/>
  <c r="BY124" i="24"/>
  <c r="BY53" i="24"/>
  <c r="BY101" i="24"/>
  <c r="BY66" i="24"/>
  <c r="BY6" i="24"/>
  <c r="AZ77" i="24"/>
  <c r="BS77" i="24" s="1"/>
  <c r="BA77" i="25" s="1"/>
  <c r="AY108" i="24"/>
  <c r="BY18" i="24"/>
  <c r="BY38" i="24"/>
  <c r="BY21" i="24"/>
  <c r="BY30" i="24"/>
  <c r="BY33" i="24"/>
  <c r="BY100" i="24"/>
  <c r="BY50" i="24"/>
  <c r="BY89" i="24"/>
  <c r="BY7" i="24"/>
  <c r="BY14" i="24"/>
  <c r="BY22" i="24"/>
  <c r="BY64" i="24"/>
  <c r="BY136" i="24"/>
  <c r="BY99" i="24"/>
  <c r="BY32" i="24"/>
  <c r="BY86" i="24"/>
  <c r="BY72" i="24"/>
  <c r="BY78" i="24"/>
  <c r="BY87" i="24"/>
  <c r="BY132" i="24"/>
  <c r="BY57" i="24"/>
  <c r="BY105" i="24"/>
  <c r="BY63" i="24"/>
  <c r="BY4" i="24"/>
  <c r="AY59" i="24"/>
  <c r="AG59" i="25" s="1"/>
  <c r="BY49" i="24"/>
  <c r="BY108" i="24"/>
  <c r="BY15" i="24"/>
  <c r="BY128" i="24"/>
  <c r="BY91" i="24"/>
  <c r="BY16" i="24"/>
  <c r="BY94" i="24"/>
  <c r="BY27" i="24"/>
  <c r="BY90" i="24"/>
  <c r="BY95" i="24"/>
  <c r="BY43" i="24"/>
  <c r="BY61" i="24"/>
  <c r="BY109" i="24"/>
  <c r="BY60" i="24"/>
  <c r="AY128" i="24"/>
  <c r="AG128" i="25" s="1"/>
  <c r="D70" i="24"/>
  <c r="H66" i="24"/>
  <c r="BY131" i="24"/>
  <c r="BY45" i="24"/>
  <c r="BY120" i="24"/>
  <c r="BY79" i="24"/>
  <c r="BY39" i="24"/>
  <c r="BY102" i="24"/>
  <c r="BY34" i="24"/>
  <c r="BY98" i="24"/>
  <c r="BY103" i="24"/>
  <c r="BY44" i="24"/>
  <c r="BY65" i="24"/>
  <c r="BY113" i="24"/>
  <c r="AZ13" i="24"/>
  <c r="AH13" i="25" s="1"/>
  <c r="AZ38" i="24"/>
  <c r="BS38" i="24" s="1"/>
  <c r="BA38" i="25" s="1"/>
  <c r="AZ111" i="24"/>
  <c r="AH111" i="25" s="1"/>
  <c r="AZ59" i="24"/>
  <c r="N1" i="24"/>
  <c r="BH36" i="24"/>
  <c r="AP36" i="25" s="1"/>
  <c r="M35" i="24"/>
  <c r="L6" i="24"/>
  <c r="AN67" i="24" s="1"/>
  <c r="K23" i="36"/>
  <c r="G27" i="23"/>
  <c r="BC81" i="24"/>
  <c r="BV81" i="24" s="1"/>
  <c r="BD81" i="25" s="1"/>
  <c r="BC42" i="24"/>
  <c r="AK42" i="25" s="1"/>
  <c r="BC110" i="24"/>
  <c r="AK110" i="25" s="1"/>
  <c r="E63" i="24"/>
  <c r="D54" i="24"/>
  <c r="L52" i="24"/>
  <c r="L54" i="24" s="1"/>
  <c r="M14" i="25"/>
  <c r="M75" i="25"/>
  <c r="M87" i="25"/>
  <c r="M99" i="25"/>
  <c r="M135" i="25"/>
  <c r="M46" i="25"/>
  <c r="M112" i="25"/>
  <c r="M48" i="25"/>
  <c r="M74" i="25"/>
  <c r="M88" i="25"/>
  <c r="M101" i="25"/>
  <c r="M36" i="25"/>
  <c r="M49" i="25"/>
  <c r="M62" i="25"/>
  <c r="M50" i="25"/>
  <c r="M11" i="25"/>
  <c r="M17" i="25"/>
  <c r="M30" i="25"/>
  <c r="M43" i="25"/>
  <c r="M56" i="25"/>
  <c r="M69" i="25"/>
  <c r="M134" i="25"/>
  <c r="M5" i="25"/>
  <c r="M83" i="25"/>
  <c r="M13" i="25"/>
  <c r="M44" i="25"/>
  <c r="M103" i="25"/>
  <c r="M125" i="25"/>
  <c r="M16" i="25"/>
  <c r="M45" i="25"/>
  <c r="M80" i="25"/>
  <c r="M18" i="25"/>
  <c r="M81" i="25"/>
  <c r="M107" i="25"/>
  <c r="M129" i="25"/>
  <c r="M82" i="25"/>
  <c r="M26" i="25"/>
  <c r="M55" i="25"/>
  <c r="M109" i="25"/>
  <c r="M57" i="25"/>
  <c r="M133" i="25"/>
  <c r="M136" i="25"/>
  <c r="M31" i="25"/>
  <c r="M113" i="25"/>
  <c r="M67" i="25"/>
  <c r="M70" i="25"/>
  <c r="M71" i="25"/>
  <c r="M116" i="25"/>
  <c r="M119" i="25"/>
  <c r="M7" i="25"/>
  <c r="M122" i="25"/>
  <c r="P87" i="25"/>
  <c r="P99" i="25"/>
  <c r="P5" i="25"/>
  <c r="P17" i="25"/>
  <c r="P125" i="25"/>
  <c r="P4" i="25"/>
  <c r="P18" i="25"/>
  <c r="P66" i="25"/>
  <c r="P78" i="25"/>
  <c r="P90" i="25"/>
  <c r="P102" i="25"/>
  <c r="P114" i="25"/>
  <c r="P12" i="25"/>
  <c r="P28" i="25"/>
  <c r="P76" i="25"/>
  <c r="P14" i="25"/>
  <c r="P32" i="25"/>
  <c r="P80" i="25"/>
  <c r="P16" i="25"/>
  <c r="P48" i="25"/>
  <c r="P64" i="25"/>
  <c r="P81" i="25"/>
  <c r="P112" i="25"/>
  <c r="P129" i="25"/>
  <c r="P67" i="25"/>
  <c r="P130" i="25"/>
  <c r="P35" i="25"/>
  <c r="P50" i="25"/>
  <c r="P116" i="25"/>
  <c r="P21" i="25"/>
  <c r="P36" i="25"/>
  <c r="P52" i="25"/>
  <c r="P117" i="25"/>
  <c r="P132" i="25"/>
  <c r="P24" i="25"/>
  <c r="P40" i="25"/>
  <c r="P88" i="25"/>
  <c r="P105" i="25"/>
  <c r="P22" i="25"/>
  <c r="P58" i="25"/>
  <c r="P134" i="25"/>
  <c r="P23" i="25"/>
  <c r="P25" i="25"/>
  <c r="P61" i="25"/>
  <c r="P104" i="25"/>
  <c r="P106" i="25"/>
  <c r="P71" i="25"/>
  <c r="P37" i="25"/>
  <c r="P10" i="25"/>
  <c r="P11" i="25"/>
  <c r="P13" i="25"/>
  <c r="P92" i="25"/>
  <c r="P38" i="25"/>
  <c r="P118" i="25"/>
  <c r="P119" i="25"/>
  <c r="P122" i="25"/>
  <c r="P55" i="25"/>
  <c r="N27" i="25"/>
  <c r="N39" i="25"/>
  <c r="N51" i="25"/>
  <c r="N75" i="25"/>
  <c r="N87" i="25"/>
  <c r="N99" i="25"/>
  <c r="N111" i="25"/>
  <c r="N135" i="25"/>
  <c r="N16" i="25"/>
  <c r="N64" i="25"/>
  <c r="N76" i="25"/>
  <c r="N112" i="25"/>
  <c r="N124" i="25"/>
  <c r="AF136" i="24"/>
  <c r="N136" i="25" s="1"/>
  <c r="N9" i="25"/>
  <c r="N37" i="25"/>
  <c r="N95" i="25"/>
  <c r="N109" i="25"/>
  <c r="N125" i="25"/>
  <c r="N25" i="25"/>
  <c r="N41" i="25"/>
  <c r="N69" i="25"/>
  <c r="N113" i="25"/>
  <c r="N127" i="25"/>
  <c r="N12" i="25"/>
  <c r="N56" i="25"/>
  <c r="N70" i="25"/>
  <c r="N98" i="25"/>
  <c r="N114" i="25"/>
  <c r="N13" i="25"/>
  <c r="N29" i="25"/>
  <c r="N43" i="25"/>
  <c r="N57" i="25"/>
  <c r="N71" i="25"/>
  <c r="N101" i="25"/>
  <c r="N14" i="25"/>
  <c r="N30" i="25"/>
  <c r="N44" i="25"/>
  <c r="N58" i="25"/>
  <c r="N86" i="25"/>
  <c r="N130" i="25"/>
  <c r="N6" i="25"/>
  <c r="N20" i="25"/>
  <c r="N34" i="25"/>
  <c r="N92" i="25"/>
  <c r="N120" i="25"/>
  <c r="N38" i="25"/>
  <c r="N96" i="25"/>
  <c r="N126" i="25"/>
  <c r="N22" i="25"/>
  <c r="N50" i="25"/>
  <c r="N7" i="25"/>
  <c r="N45" i="25"/>
  <c r="N77" i="25"/>
  <c r="N110" i="25"/>
  <c r="N8" i="25"/>
  <c r="N46" i="25"/>
  <c r="N79" i="25"/>
  <c r="N117" i="25"/>
  <c r="N47" i="25"/>
  <c r="N82" i="25"/>
  <c r="N118" i="25"/>
  <c r="N18" i="25"/>
  <c r="N49" i="25"/>
  <c r="N89" i="25"/>
  <c r="N119" i="25"/>
  <c r="N19" i="25"/>
  <c r="N121" i="25"/>
  <c r="N21" i="25"/>
  <c r="N59" i="25"/>
  <c r="N91" i="25"/>
  <c r="N122" i="25"/>
  <c r="N33" i="25"/>
  <c r="N66" i="25"/>
  <c r="N104" i="25"/>
  <c r="N4" i="25"/>
  <c r="N73" i="25"/>
  <c r="N74" i="25"/>
  <c r="N24" i="25"/>
  <c r="N31" i="25"/>
  <c r="N32" i="25"/>
  <c r="N60" i="25"/>
  <c r="N133" i="25"/>
  <c r="N5" i="25"/>
  <c r="N35" i="25"/>
  <c r="N36" i="25"/>
  <c r="N94" i="25"/>
  <c r="N131" i="25"/>
  <c r="O14" i="25"/>
  <c r="O38" i="25"/>
  <c r="O50" i="25"/>
  <c r="O40" i="25"/>
  <c r="O52" i="25"/>
  <c r="O64" i="25"/>
  <c r="O88" i="25"/>
  <c r="O100" i="25"/>
  <c r="O112" i="25"/>
  <c r="O124" i="25"/>
  <c r="O136" i="25"/>
  <c r="O5" i="25"/>
  <c r="O17" i="25"/>
  <c r="O29" i="25"/>
  <c r="O41" i="25"/>
  <c r="O53" i="25"/>
  <c r="O89" i="25"/>
  <c r="O4" i="25"/>
  <c r="O8" i="25"/>
  <c r="O39" i="25"/>
  <c r="O56" i="25"/>
  <c r="O70" i="25"/>
  <c r="O84" i="25"/>
  <c r="O25" i="25"/>
  <c r="O43" i="25"/>
  <c r="O58" i="25"/>
  <c r="O72" i="25"/>
  <c r="O102" i="25"/>
  <c r="O116" i="25"/>
  <c r="O11" i="25"/>
  <c r="O44" i="25"/>
  <c r="O59" i="25"/>
  <c r="O87" i="25"/>
  <c r="O103" i="25"/>
  <c r="O117" i="25"/>
  <c r="O12" i="25"/>
  <c r="O30" i="25"/>
  <c r="O45" i="25"/>
  <c r="O60" i="25"/>
  <c r="O74" i="25"/>
  <c r="O104" i="25"/>
  <c r="O13" i="25"/>
  <c r="O31" i="25"/>
  <c r="O46" i="25"/>
  <c r="O61" i="25"/>
  <c r="O75" i="25"/>
  <c r="O91" i="25"/>
  <c r="O32" i="25"/>
  <c r="O47" i="25"/>
  <c r="O62" i="25"/>
  <c r="O120" i="25"/>
  <c r="O134" i="25"/>
  <c r="O20" i="25"/>
  <c r="O51" i="25"/>
  <c r="O81" i="25"/>
  <c r="O95" i="25"/>
  <c r="O37" i="25"/>
  <c r="O6" i="25"/>
  <c r="O7" i="25"/>
  <c r="O82" i="25"/>
  <c r="O49" i="25"/>
  <c r="O18" i="25"/>
  <c r="O54" i="25"/>
  <c r="O85" i="25"/>
  <c r="O19" i="25"/>
  <c r="O55" i="25"/>
  <c r="O93" i="25"/>
  <c r="O126" i="25"/>
  <c r="O33" i="25"/>
  <c r="O99" i="25"/>
  <c r="O107" i="25"/>
  <c r="O57" i="25"/>
  <c r="O108" i="25"/>
  <c r="O63" i="25"/>
  <c r="O111" i="25"/>
  <c r="O21" i="25"/>
  <c r="O83" i="25"/>
  <c r="O129" i="25"/>
  <c r="O135" i="25"/>
  <c r="O24" i="25"/>
  <c r="O68" i="25"/>
  <c r="O94" i="25"/>
  <c r="O71" i="25"/>
  <c r="O96" i="25"/>
  <c r="O121" i="25"/>
  <c r="O69" i="25"/>
  <c r="F6" i="25"/>
  <c r="F18" i="25"/>
  <c r="F30" i="25"/>
  <c r="F66" i="25"/>
  <c r="F78" i="25"/>
  <c r="F114" i="25"/>
  <c r="F126" i="25"/>
  <c r="F22" i="25"/>
  <c r="F34" i="25"/>
  <c r="F46" i="25"/>
  <c r="F58" i="25"/>
  <c r="F70" i="25"/>
  <c r="F82" i="25"/>
  <c r="F118" i="25"/>
  <c r="F130" i="25"/>
  <c r="F29" i="25"/>
  <c r="F44" i="25"/>
  <c r="F59" i="25"/>
  <c r="F73" i="25"/>
  <c r="F87" i="25"/>
  <c r="F116" i="25"/>
  <c r="F131" i="25"/>
  <c r="F8" i="25"/>
  <c r="F51" i="25"/>
  <c r="F65" i="25"/>
  <c r="F109" i="25"/>
  <c r="F123" i="25"/>
  <c r="F4" i="25"/>
  <c r="F12" i="25"/>
  <c r="F47" i="25"/>
  <c r="F63" i="25"/>
  <c r="F115" i="25"/>
  <c r="F133" i="25"/>
  <c r="F13" i="25"/>
  <c r="F31" i="25"/>
  <c r="F48" i="25"/>
  <c r="F64" i="25"/>
  <c r="F83" i="25"/>
  <c r="F99" i="25"/>
  <c r="F117" i="25"/>
  <c r="F134" i="25"/>
  <c r="F14" i="25"/>
  <c r="F32" i="25"/>
  <c r="F100" i="25"/>
  <c r="F119" i="25"/>
  <c r="F135" i="25"/>
  <c r="F33" i="25"/>
  <c r="F120" i="25"/>
  <c r="F136" i="25"/>
  <c r="F17" i="25"/>
  <c r="F35" i="25"/>
  <c r="F19" i="25"/>
  <c r="F36" i="25"/>
  <c r="F71" i="25"/>
  <c r="F88" i="25"/>
  <c r="F105" i="25"/>
  <c r="F122" i="25"/>
  <c r="F20" i="25"/>
  <c r="F38" i="25"/>
  <c r="F107" i="25"/>
  <c r="F124" i="25"/>
  <c r="F21" i="25"/>
  <c r="F39" i="25"/>
  <c r="F56" i="25"/>
  <c r="F74" i="25"/>
  <c r="F91" i="25"/>
  <c r="F108" i="25"/>
  <c r="F125" i="25"/>
  <c r="F7" i="25"/>
  <c r="F25" i="25"/>
  <c r="F60" i="25"/>
  <c r="F76" i="25"/>
  <c r="F111" i="25"/>
  <c r="F5" i="25"/>
  <c r="F62" i="25"/>
  <c r="F113" i="25"/>
  <c r="F9" i="25"/>
  <c r="F69" i="25"/>
  <c r="F121" i="25"/>
  <c r="F127" i="25"/>
  <c r="F77" i="25"/>
  <c r="F26" i="25"/>
  <c r="F79" i="25"/>
  <c r="F132" i="25"/>
  <c r="F86" i="25"/>
  <c r="F92" i="25"/>
  <c r="F43" i="25"/>
  <c r="F96" i="25"/>
  <c r="F45" i="25"/>
  <c r="F57" i="25"/>
  <c r="F61" i="25"/>
  <c r="F52" i="25"/>
  <c r="F104" i="25"/>
  <c r="G33" i="25"/>
  <c r="G45" i="25"/>
  <c r="G28" i="25"/>
  <c r="G79" i="25"/>
  <c r="G127" i="25"/>
  <c r="G19" i="25"/>
  <c r="G119" i="25"/>
  <c r="G131" i="25"/>
  <c r="G14" i="25"/>
  <c r="G30" i="25"/>
  <c r="G62" i="25"/>
  <c r="G120" i="25"/>
  <c r="G7" i="25"/>
  <c r="G69" i="25"/>
  <c r="G126" i="25"/>
  <c r="G20" i="25"/>
  <c r="G39" i="25"/>
  <c r="G75" i="25"/>
  <c r="G93" i="25"/>
  <c r="G94" i="25"/>
  <c r="G42" i="25"/>
  <c r="G113" i="25"/>
  <c r="G63" i="25"/>
  <c r="G114" i="25"/>
  <c r="G132" i="25"/>
  <c r="G44" i="25"/>
  <c r="G81" i="25"/>
  <c r="G116" i="25"/>
  <c r="G10" i="25"/>
  <c r="G82" i="25"/>
  <c r="G100" i="25"/>
  <c r="G101" i="25"/>
  <c r="G118" i="25"/>
  <c r="G136" i="25"/>
  <c r="G12" i="25"/>
  <c r="G31" i="25"/>
  <c r="G50" i="25"/>
  <c r="G16" i="25"/>
  <c r="G52" i="25"/>
  <c r="G72" i="25"/>
  <c r="G88" i="25"/>
  <c r="G106" i="25"/>
  <c r="G74" i="25"/>
  <c r="G13" i="25"/>
  <c r="G87" i="25"/>
  <c r="G36" i="25"/>
  <c r="G124" i="25"/>
  <c r="G56" i="25"/>
  <c r="G125" i="25"/>
  <c r="G51" i="25"/>
  <c r="G122" i="25"/>
  <c r="S42" i="25"/>
  <c r="S54" i="25"/>
  <c r="S90" i="25"/>
  <c r="S102" i="25"/>
  <c r="S126" i="25"/>
  <c r="S31" i="25"/>
  <c r="S43" i="25"/>
  <c r="S115" i="25"/>
  <c r="S20" i="25"/>
  <c r="S32" i="25"/>
  <c r="S44" i="25"/>
  <c r="S56" i="25"/>
  <c r="S33" i="25"/>
  <c r="S45" i="25"/>
  <c r="S57" i="25"/>
  <c r="S69" i="25"/>
  <c r="S81" i="25"/>
  <c r="S93" i="25"/>
  <c r="S129" i="25"/>
  <c r="S5" i="25"/>
  <c r="S63" i="25"/>
  <c r="S83" i="25"/>
  <c r="S135" i="25"/>
  <c r="S29" i="25"/>
  <c r="S85" i="25"/>
  <c r="S121" i="25"/>
  <c r="S50" i="25"/>
  <c r="S70" i="25"/>
  <c r="S106" i="25"/>
  <c r="S122" i="25"/>
  <c r="S15" i="25"/>
  <c r="S107" i="25"/>
  <c r="S16" i="25"/>
  <c r="S72" i="25"/>
  <c r="S108" i="25"/>
  <c r="S124" i="25"/>
  <c r="S17" i="25"/>
  <c r="S37" i="25"/>
  <c r="S89" i="25"/>
  <c r="S109" i="25"/>
  <c r="S125" i="25"/>
  <c r="S96" i="25"/>
  <c r="S23" i="25"/>
  <c r="S110" i="25"/>
  <c r="S28" i="25"/>
  <c r="S77" i="25"/>
  <c r="S120" i="25"/>
  <c r="S95" i="25"/>
  <c r="S134" i="25"/>
  <c r="S133" i="25"/>
  <c r="S136" i="25"/>
  <c r="S59" i="25"/>
  <c r="S82" i="25"/>
  <c r="S98" i="25"/>
  <c r="S84" i="25"/>
  <c r="S94" i="25"/>
  <c r="S97" i="25"/>
  <c r="K16" i="25"/>
  <c r="K28" i="25"/>
  <c r="K40" i="25"/>
  <c r="K52" i="25"/>
  <c r="K112" i="25"/>
  <c r="K124" i="25"/>
  <c r="K136" i="25"/>
  <c r="K11" i="25"/>
  <c r="K24" i="25"/>
  <c r="K37" i="25"/>
  <c r="K50" i="25"/>
  <c r="K77" i="25"/>
  <c r="K90" i="25"/>
  <c r="K103" i="25"/>
  <c r="K116" i="25"/>
  <c r="K129" i="25"/>
  <c r="K30" i="25"/>
  <c r="K43" i="25"/>
  <c r="K56" i="25"/>
  <c r="K69" i="25"/>
  <c r="K82" i="25"/>
  <c r="K95" i="25"/>
  <c r="K108" i="25"/>
  <c r="K121" i="25"/>
  <c r="K134" i="25"/>
  <c r="K31" i="25"/>
  <c r="K46" i="25"/>
  <c r="K61" i="25"/>
  <c r="K93" i="25"/>
  <c r="K15" i="25"/>
  <c r="K32" i="25"/>
  <c r="K79" i="25"/>
  <c r="K94" i="25"/>
  <c r="K110" i="25"/>
  <c r="K18" i="25"/>
  <c r="K33" i="25"/>
  <c r="K65" i="25"/>
  <c r="K80" i="25"/>
  <c r="K96" i="25"/>
  <c r="K111" i="25"/>
  <c r="K127" i="25"/>
  <c r="K19" i="25"/>
  <c r="K49" i="25"/>
  <c r="K66" i="25"/>
  <c r="K81" i="25"/>
  <c r="K97" i="25"/>
  <c r="K113" i="25"/>
  <c r="K128" i="25"/>
  <c r="K5" i="25"/>
  <c r="K20" i="25"/>
  <c r="K67" i="25"/>
  <c r="K83" i="25"/>
  <c r="K98" i="25"/>
  <c r="K114" i="25"/>
  <c r="K41" i="25"/>
  <c r="K70" i="25"/>
  <c r="K120" i="25"/>
  <c r="K42" i="25"/>
  <c r="K71" i="25"/>
  <c r="K84" i="25"/>
  <c r="K106" i="25"/>
  <c r="K135" i="25"/>
  <c r="K38" i="25"/>
  <c r="K73" i="25"/>
  <c r="K107" i="25"/>
  <c r="K6" i="25"/>
  <c r="K115" i="25"/>
  <c r="K7" i="25"/>
  <c r="K44" i="25"/>
  <c r="K75" i="25"/>
  <c r="K8" i="25"/>
  <c r="K45" i="25"/>
  <c r="K86" i="25"/>
  <c r="K119" i="25"/>
  <c r="K10" i="25"/>
  <c r="K54" i="25"/>
  <c r="K87" i="25"/>
  <c r="K122" i="25"/>
  <c r="K22" i="25"/>
  <c r="K57" i="25"/>
  <c r="K23" i="25"/>
  <c r="K25" i="25"/>
  <c r="K59" i="25"/>
  <c r="K101" i="25"/>
  <c r="K132" i="25"/>
  <c r="K27" i="25"/>
  <c r="K102" i="25"/>
  <c r="K133" i="25"/>
  <c r="K68" i="25"/>
  <c r="K72" i="25"/>
  <c r="K29" i="25"/>
  <c r="K36" i="25"/>
  <c r="I35" i="25"/>
  <c r="I47" i="25"/>
  <c r="I59" i="25"/>
  <c r="I71" i="25"/>
  <c r="I95" i="25"/>
  <c r="I119" i="25"/>
  <c r="I40" i="25"/>
  <c r="I88" i="25"/>
  <c r="I100" i="25"/>
  <c r="I112" i="25"/>
  <c r="I124" i="25"/>
  <c r="I136" i="25"/>
  <c r="I7" i="25"/>
  <c r="I21" i="25"/>
  <c r="I36" i="25"/>
  <c r="I50" i="25"/>
  <c r="I65" i="25"/>
  <c r="I108" i="25"/>
  <c r="I4" i="25"/>
  <c r="I8" i="25"/>
  <c r="I22" i="25"/>
  <c r="I51" i="25"/>
  <c r="I94" i="25"/>
  <c r="I123" i="25"/>
  <c r="I12" i="25"/>
  <c r="I55" i="25"/>
  <c r="I84" i="25"/>
  <c r="I98" i="25"/>
  <c r="I127" i="25"/>
  <c r="I81" i="25"/>
  <c r="I101" i="25"/>
  <c r="I14" i="25"/>
  <c r="I32" i="25"/>
  <c r="I72" i="25"/>
  <c r="I90" i="25"/>
  <c r="I110" i="25"/>
  <c r="I129" i="25"/>
  <c r="I42" i="25"/>
  <c r="I63" i="25"/>
  <c r="I111" i="25"/>
  <c r="I133" i="25"/>
  <c r="I19" i="25"/>
  <c r="I89" i="25"/>
  <c r="I114" i="25"/>
  <c r="I134" i="25"/>
  <c r="I20" i="25"/>
  <c r="I45" i="25"/>
  <c r="I68" i="25"/>
  <c r="I115" i="25"/>
  <c r="I135" i="25"/>
  <c r="I25" i="25"/>
  <c r="I46" i="25"/>
  <c r="I116" i="25"/>
  <c r="I27" i="25"/>
  <c r="I48" i="25"/>
  <c r="I5" i="25"/>
  <c r="I29" i="25"/>
  <c r="I74" i="25"/>
  <c r="I97" i="25"/>
  <c r="I6" i="25"/>
  <c r="I75" i="25"/>
  <c r="I121" i="25"/>
  <c r="I9" i="25"/>
  <c r="I31" i="25"/>
  <c r="I77" i="25"/>
  <c r="I102" i="25"/>
  <c r="I125" i="25"/>
  <c r="I10" i="25"/>
  <c r="I33" i="25"/>
  <c r="I13" i="25"/>
  <c r="I34" i="25"/>
  <c r="I58" i="25"/>
  <c r="I128" i="25"/>
  <c r="I103" i="25"/>
  <c r="I15" i="25"/>
  <c r="I17" i="25"/>
  <c r="I126" i="25"/>
  <c r="I39" i="25"/>
  <c r="I132" i="25"/>
  <c r="I60" i="25"/>
  <c r="I62" i="25"/>
  <c r="J27" i="25"/>
  <c r="J39" i="25"/>
  <c r="J35" i="25"/>
  <c r="J48" i="25"/>
  <c r="J60" i="25"/>
  <c r="J72" i="25"/>
  <c r="J84" i="25"/>
  <c r="J108" i="25"/>
  <c r="J132" i="25"/>
  <c r="J28" i="25"/>
  <c r="J41" i="25"/>
  <c r="J53" i="25"/>
  <c r="J65" i="25"/>
  <c r="J101" i="25"/>
  <c r="J113" i="25"/>
  <c r="J7" i="25"/>
  <c r="J23" i="25"/>
  <c r="J38" i="25"/>
  <c r="J54" i="25"/>
  <c r="J68" i="25"/>
  <c r="J82" i="25"/>
  <c r="J97" i="25"/>
  <c r="J24" i="25"/>
  <c r="J40" i="25"/>
  <c r="J55" i="25"/>
  <c r="J69" i="25"/>
  <c r="J83" i="25"/>
  <c r="J98" i="25"/>
  <c r="J10" i="25"/>
  <c r="J25" i="25"/>
  <c r="J42" i="25"/>
  <c r="J56" i="25"/>
  <c r="J70" i="25"/>
  <c r="J85" i="25"/>
  <c r="J99" i="25"/>
  <c r="J114" i="25"/>
  <c r="J128" i="25"/>
  <c r="J11" i="25"/>
  <c r="J43" i="25"/>
  <c r="J57" i="25"/>
  <c r="J71" i="25"/>
  <c r="J86" i="25"/>
  <c r="J100" i="25"/>
  <c r="J12" i="25"/>
  <c r="J29" i="25"/>
  <c r="J44" i="25"/>
  <c r="J58" i="25"/>
  <c r="J73" i="25"/>
  <c r="J87" i="25"/>
  <c r="J102" i="25"/>
  <c r="J116" i="25"/>
  <c r="J17" i="25"/>
  <c r="J45" i="25"/>
  <c r="J136" i="25"/>
  <c r="J31" i="25"/>
  <c r="J52" i="25"/>
  <c r="J37" i="25"/>
  <c r="J74" i="25"/>
  <c r="J103" i="25"/>
  <c r="J129" i="25"/>
  <c r="J46" i="25"/>
  <c r="J75" i="25"/>
  <c r="J16" i="25"/>
  <c r="J106" i="25"/>
  <c r="J133" i="25"/>
  <c r="J18" i="25"/>
  <c r="J78" i="25"/>
  <c r="J107" i="25"/>
  <c r="J134" i="25"/>
  <c r="J19" i="25"/>
  <c r="J50" i="25"/>
  <c r="J80" i="25"/>
  <c r="J109" i="25"/>
  <c r="J135" i="25"/>
  <c r="J20" i="25"/>
  <c r="J51" i="25"/>
  <c r="J81" i="25"/>
  <c r="J59" i="25"/>
  <c r="J88" i="25"/>
  <c r="J115" i="25"/>
  <c r="J90" i="25"/>
  <c r="J32" i="25"/>
  <c r="J62" i="25"/>
  <c r="J119" i="25"/>
  <c r="J33" i="25"/>
  <c r="J93" i="25"/>
  <c r="J121" i="25"/>
  <c r="J123" i="25"/>
  <c r="J5" i="25"/>
  <c r="J36" i="25"/>
  <c r="J94" i="25"/>
  <c r="J95" i="25"/>
  <c r="J67" i="25"/>
  <c r="R17" i="25"/>
  <c r="R29" i="25"/>
  <c r="R41" i="25"/>
  <c r="R53" i="25"/>
  <c r="R65" i="25"/>
  <c r="R77" i="25"/>
  <c r="R89" i="25"/>
  <c r="R101" i="25"/>
  <c r="R6" i="25"/>
  <c r="R91" i="25"/>
  <c r="R115" i="25"/>
  <c r="R127" i="25"/>
  <c r="R32" i="25"/>
  <c r="R44" i="25"/>
  <c r="R56" i="25"/>
  <c r="R68" i="25"/>
  <c r="R80" i="25"/>
  <c r="R71" i="25"/>
  <c r="R102" i="25"/>
  <c r="R119" i="25"/>
  <c r="R134" i="25"/>
  <c r="R58" i="25"/>
  <c r="R88" i="25"/>
  <c r="R106" i="25"/>
  <c r="R121" i="25"/>
  <c r="R136" i="25"/>
  <c r="R90" i="25"/>
  <c r="R107" i="25"/>
  <c r="R45" i="25"/>
  <c r="R75" i="25"/>
  <c r="R93" i="25"/>
  <c r="R108" i="25"/>
  <c r="R123" i="25"/>
  <c r="R27" i="25"/>
  <c r="R76" i="25"/>
  <c r="R94" i="25"/>
  <c r="R124" i="25"/>
  <c r="R62" i="25"/>
  <c r="R78" i="25"/>
  <c r="R95" i="25"/>
  <c r="R110" i="25"/>
  <c r="R15" i="25"/>
  <c r="R14" i="25"/>
  <c r="R96" i="25"/>
  <c r="R132" i="25"/>
  <c r="R57" i="25"/>
  <c r="R97" i="25"/>
  <c r="R133" i="25"/>
  <c r="R23" i="25"/>
  <c r="R100" i="25"/>
  <c r="R69" i="25"/>
  <c r="R70" i="25"/>
  <c r="R84" i="25"/>
  <c r="R120" i="25"/>
  <c r="R112" i="25"/>
  <c r="R13" i="25"/>
  <c r="R81" i="25"/>
  <c r="R49" i="25"/>
  <c r="R51" i="25"/>
  <c r="R82" i="25"/>
  <c r="BC56" i="24"/>
  <c r="AK56" i="25" s="1"/>
  <c r="C75" i="25"/>
  <c r="C111" i="25"/>
  <c r="C135" i="25"/>
  <c r="C9" i="25"/>
  <c r="C22" i="25"/>
  <c r="C35" i="25"/>
  <c r="C48" i="25"/>
  <c r="C16" i="25"/>
  <c r="C55" i="25"/>
  <c r="C81" i="25"/>
  <c r="C120" i="25"/>
  <c r="C34" i="25"/>
  <c r="C65" i="25"/>
  <c r="C136" i="25"/>
  <c r="C11" i="25"/>
  <c r="C58" i="25"/>
  <c r="C72" i="25"/>
  <c r="C86" i="25"/>
  <c r="C101" i="25"/>
  <c r="C129" i="25"/>
  <c r="C12" i="25"/>
  <c r="C28" i="25"/>
  <c r="C59" i="25"/>
  <c r="C88" i="25"/>
  <c r="C13" i="25"/>
  <c r="C33" i="25"/>
  <c r="C74" i="25"/>
  <c r="C92" i="25"/>
  <c r="C112" i="25"/>
  <c r="C14" i="25"/>
  <c r="C36" i="25"/>
  <c r="C76" i="25"/>
  <c r="C113" i="25"/>
  <c r="C17" i="25"/>
  <c r="C37" i="25"/>
  <c r="C57" i="25"/>
  <c r="C77" i="25"/>
  <c r="C133" i="25"/>
  <c r="C134" i="25"/>
  <c r="C18" i="25"/>
  <c r="C60" i="25"/>
  <c r="C20" i="25"/>
  <c r="C40" i="25"/>
  <c r="C61" i="25"/>
  <c r="C98" i="25"/>
  <c r="C21" i="25"/>
  <c r="C62" i="25"/>
  <c r="C23" i="25"/>
  <c r="C45" i="25"/>
  <c r="C64" i="25"/>
  <c r="C121" i="25"/>
  <c r="C24" i="25"/>
  <c r="C46" i="25"/>
  <c r="C66" i="25"/>
  <c r="C104" i="25"/>
  <c r="C124" i="25"/>
  <c r="C6" i="25"/>
  <c r="C47" i="25"/>
  <c r="C67" i="25"/>
  <c r="C85" i="25"/>
  <c r="C125" i="25"/>
  <c r="C30" i="25"/>
  <c r="C89" i="25"/>
  <c r="C126" i="25"/>
  <c r="C8" i="25"/>
  <c r="C10" i="25"/>
  <c r="C32" i="25"/>
  <c r="C71" i="25"/>
  <c r="C91" i="25"/>
  <c r="C110" i="25"/>
  <c r="C49" i="25"/>
  <c r="D23" i="24"/>
  <c r="D30" i="24" s="1"/>
  <c r="N13" i="24"/>
  <c r="H10" i="25"/>
  <c r="H82" i="25"/>
  <c r="H106" i="25"/>
  <c r="H130" i="25"/>
  <c r="H17" i="25"/>
  <c r="H30" i="25"/>
  <c r="H43" i="25"/>
  <c r="H56" i="25"/>
  <c r="H69" i="25"/>
  <c r="H96" i="25"/>
  <c r="H5" i="25"/>
  <c r="H61" i="25"/>
  <c r="H126" i="25"/>
  <c r="H6" i="25"/>
  <c r="H23" i="25"/>
  <c r="H132" i="25"/>
  <c r="H14" i="25"/>
  <c r="H29" i="25"/>
  <c r="H45" i="25"/>
  <c r="H62" i="25"/>
  <c r="H78" i="25"/>
  <c r="H97" i="25"/>
  <c r="H134" i="25"/>
  <c r="H41" i="25"/>
  <c r="H60" i="25"/>
  <c r="H63" i="25"/>
  <c r="H80" i="25"/>
  <c r="H99" i="25"/>
  <c r="H119" i="25"/>
  <c r="H4" i="25"/>
  <c r="H44" i="25"/>
  <c r="H64" i="25"/>
  <c r="H47" i="25"/>
  <c r="H84" i="25"/>
  <c r="H121" i="25"/>
  <c r="H66" i="25"/>
  <c r="H86" i="25"/>
  <c r="H104" i="25"/>
  <c r="H31" i="25"/>
  <c r="H88" i="25"/>
  <c r="H32" i="25"/>
  <c r="H73" i="25"/>
  <c r="H91" i="25"/>
  <c r="H111" i="25"/>
  <c r="H55" i="25"/>
  <c r="H57" i="25"/>
  <c r="H133" i="25"/>
  <c r="H75" i="25"/>
  <c r="H18" i="25"/>
  <c r="H19" i="25"/>
  <c r="H37" i="25"/>
  <c r="H112" i="25"/>
  <c r="H39" i="25"/>
  <c r="H33" i="25"/>
  <c r="H110" i="25"/>
  <c r="E5" i="25"/>
  <c r="E17" i="25"/>
  <c r="E41" i="25"/>
  <c r="E53" i="25"/>
  <c r="E65" i="25"/>
  <c r="E101" i="25"/>
  <c r="E113" i="25"/>
  <c r="E125" i="25"/>
  <c r="E4" i="25"/>
  <c r="E9" i="25"/>
  <c r="E21" i="25"/>
  <c r="E12" i="25"/>
  <c r="E26" i="25"/>
  <c r="E39" i="25"/>
  <c r="E52" i="25"/>
  <c r="E19" i="25"/>
  <c r="E33" i="25"/>
  <c r="E46" i="25"/>
  <c r="E59" i="25"/>
  <c r="E72" i="25"/>
  <c r="E16" i="25"/>
  <c r="E34" i="25"/>
  <c r="E49" i="25"/>
  <c r="E64" i="25"/>
  <c r="E96" i="25"/>
  <c r="E128" i="25"/>
  <c r="E18" i="25"/>
  <c r="E35" i="25"/>
  <c r="E50" i="25"/>
  <c r="E82" i="25"/>
  <c r="E114" i="25"/>
  <c r="E129" i="25"/>
  <c r="E20" i="25"/>
  <c r="E51" i="25"/>
  <c r="E68" i="25"/>
  <c r="E99" i="25"/>
  <c r="E115" i="25"/>
  <c r="E130" i="25"/>
  <c r="E22" i="25"/>
  <c r="E37" i="25"/>
  <c r="E54" i="25"/>
  <c r="E69" i="25"/>
  <c r="E84" i="25"/>
  <c r="E100" i="25"/>
  <c r="E116" i="25"/>
  <c r="E7" i="25"/>
  <c r="E8" i="25"/>
  <c r="E25" i="25"/>
  <c r="E73" i="25"/>
  <c r="E88" i="25"/>
  <c r="E104" i="25"/>
  <c r="E120" i="25"/>
  <c r="E135" i="25"/>
  <c r="E10" i="25"/>
  <c r="E74" i="25"/>
  <c r="E121" i="25"/>
  <c r="E136" i="25"/>
  <c r="E13" i="25"/>
  <c r="E61" i="25"/>
  <c r="E76" i="25"/>
  <c r="E31" i="25"/>
  <c r="E70" i="25"/>
  <c r="E107" i="25"/>
  <c r="E109" i="25"/>
  <c r="E38" i="25"/>
  <c r="E75" i="25"/>
  <c r="E40" i="25"/>
  <c r="E117" i="25"/>
  <c r="E6" i="25"/>
  <c r="E47" i="25"/>
  <c r="E86" i="25"/>
  <c r="E122" i="25"/>
  <c r="E11" i="25"/>
  <c r="E87" i="25"/>
  <c r="E126" i="25"/>
  <c r="E55" i="25"/>
  <c r="E127" i="25"/>
  <c r="E56" i="25"/>
  <c r="E62" i="25"/>
  <c r="E102" i="25"/>
  <c r="E63" i="25"/>
  <c r="E103" i="25"/>
  <c r="E23" i="25"/>
  <c r="E95" i="25"/>
  <c r="B14" i="25"/>
  <c r="B38" i="25"/>
  <c r="B74" i="25"/>
  <c r="B16" i="25"/>
  <c r="B22" i="25"/>
  <c r="B35" i="25"/>
  <c r="B48" i="25"/>
  <c r="B61" i="25"/>
  <c r="B88" i="25"/>
  <c r="B114" i="25"/>
  <c r="B10" i="25"/>
  <c r="B23" i="25"/>
  <c r="B36" i="25"/>
  <c r="B102" i="25"/>
  <c r="B51" i="25"/>
  <c r="B135" i="25"/>
  <c r="B17" i="25"/>
  <c r="B33" i="25"/>
  <c r="B52" i="25"/>
  <c r="B69" i="25"/>
  <c r="B85" i="25"/>
  <c r="B104" i="25"/>
  <c r="B121" i="25"/>
  <c r="B136" i="25"/>
  <c r="B54" i="25"/>
  <c r="B123" i="25"/>
  <c r="B134" i="25"/>
  <c r="B18" i="25"/>
  <c r="B34" i="25"/>
  <c r="B87" i="25"/>
  <c r="B19" i="25"/>
  <c r="B39" i="25"/>
  <c r="B72" i="25"/>
  <c r="B108" i="25"/>
  <c r="B124" i="25"/>
  <c r="B24" i="25"/>
  <c r="B77" i="25"/>
  <c r="B7" i="25"/>
  <c r="B25" i="25"/>
  <c r="B59" i="25"/>
  <c r="B95" i="25"/>
  <c r="B129" i="25"/>
  <c r="B60" i="25"/>
  <c r="B113" i="25"/>
  <c r="B45" i="25"/>
  <c r="B12" i="25"/>
  <c r="B30" i="25"/>
  <c r="B65" i="25"/>
  <c r="B99" i="25"/>
  <c r="B133" i="25"/>
  <c r="B13" i="25"/>
  <c r="B31" i="25"/>
  <c r="B47" i="25"/>
  <c r="B100" i="25"/>
  <c r="L26" i="25"/>
  <c r="L50" i="25"/>
  <c r="L62" i="25"/>
  <c r="L74" i="25"/>
  <c r="L86" i="25"/>
  <c r="L7" i="25"/>
  <c r="L20" i="25"/>
  <c r="L8" i="25"/>
  <c r="L21" i="25"/>
  <c r="L10" i="25"/>
  <c r="L23" i="25"/>
  <c r="L36" i="25"/>
  <c r="L63" i="25"/>
  <c r="L113" i="25"/>
  <c r="L18" i="25"/>
  <c r="L48" i="25"/>
  <c r="L64" i="25"/>
  <c r="L131" i="25"/>
  <c r="L9" i="25"/>
  <c r="L27" i="25"/>
  <c r="L41" i="25"/>
  <c r="L55" i="25"/>
  <c r="L69" i="25"/>
  <c r="L97" i="25"/>
  <c r="L110" i="25"/>
  <c r="L67" i="25"/>
  <c r="L116" i="25"/>
  <c r="L15" i="25"/>
  <c r="L33" i="25"/>
  <c r="L52" i="25"/>
  <c r="L85" i="25"/>
  <c r="L102" i="25"/>
  <c r="L133" i="25"/>
  <c r="L16" i="25"/>
  <c r="L35" i="25"/>
  <c r="L53" i="25"/>
  <c r="L70" i="25"/>
  <c r="L103" i="25"/>
  <c r="L119" i="25"/>
  <c r="L134" i="25"/>
  <c r="L17" i="25"/>
  <c r="L37" i="25"/>
  <c r="L54" i="25"/>
  <c r="L88" i="25"/>
  <c r="L104" i="25"/>
  <c r="L120" i="25"/>
  <c r="L56" i="25"/>
  <c r="L72" i="25"/>
  <c r="L106" i="25"/>
  <c r="L121" i="25"/>
  <c r="L61" i="25"/>
  <c r="L94" i="25"/>
  <c r="L122" i="25"/>
  <c r="L40" i="25"/>
  <c r="L5" i="25"/>
  <c r="L42" i="25"/>
  <c r="L66" i="25"/>
  <c r="L11" i="25"/>
  <c r="L12" i="25"/>
  <c r="L45" i="25"/>
  <c r="L107" i="25"/>
  <c r="L129" i="25"/>
  <c r="L79" i="25"/>
  <c r="L28" i="25"/>
  <c r="L58" i="25"/>
  <c r="L82" i="25"/>
  <c r="L24" i="25"/>
  <c r="L128" i="25"/>
  <c r="L91" i="25"/>
  <c r="L30" i="25"/>
  <c r="L43" i="25"/>
  <c r="L98" i="25"/>
  <c r="L99" i="25"/>
  <c r="L109" i="25"/>
  <c r="L57" i="25"/>
  <c r="L59" i="25"/>
  <c r="L112" i="25"/>
  <c r="L6" i="25"/>
  <c r="L73" i="25"/>
  <c r="L115" i="25"/>
  <c r="L127" i="25"/>
  <c r="D16" i="25"/>
  <c r="D28" i="25"/>
  <c r="D40" i="25"/>
  <c r="D52" i="25"/>
  <c r="D64" i="25"/>
  <c r="D76" i="25"/>
  <c r="D88" i="25"/>
  <c r="D100" i="25"/>
  <c r="D112" i="25"/>
  <c r="D124" i="25"/>
  <c r="D136" i="25"/>
  <c r="D11" i="25"/>
  <c r="D24" i="25"/>
  <c r="D37" i="25"/>
  <c r="D50" i="25"/>
  <c r="D63" i="25"/>
  <c r="D77" i="25"/>
  <c r="D90" i="25"/>
  <c r="D103" i="25"/>
  <c r="D116" i="25"/>
  <c r="D129" i="25"/>
  <c r="D5" i="25"/>
  <c r="D18" i="25"/>
  <c r="D31" i="25"/>
  <c r="D44" i="25"/>
  <c r="D57" i="25"/>
  <c r="D70" i="25"/>
  <c r="D83" i="25"/>
  <c r="D96" i="25"/>
  <c r="D109" i="25"/>
  <c r="D122" i="25"/>
  <c r="D135" i="25"/>
  <c r="D10" i="25"/>
  <c r="D26" i="25"/>
  <c r="D42" i="25"/>
  <c r="D58" i="25"/>
  <c r="D73" i="25"/>
  <c r="D89" i="25"/>
  <c r="D105" i="25"/>
  <c r="D120" i="25"/>
  <c r="D4" i="25"/>
  <c r="D13" i="25"/>
  <c r="D29" i="25"/>
  <c r="D45" i="25"/>
  <c r="D60" i="25"/>
  <c r="D75" i="25"/>
  <c r="D92" i="25"/>
  <c r="D107" i="25"/>
  <c r="D123" i="25"/>
  <c r="D14" i="25"/>
  <c r="D30" i="25"/>
  <c r="D46" i="25"/>
  <c r="D61" i="25"/>
  <c r="D78" i="25"/>
  <c r="D93" i="25"/>
  <c r="D108" i="25"/>
  <c r="D125" i="25"/>
  <c r="D19" i="25"/>
  <c r="D34" i="25"/>
  <c r="D49" i="25"/>
  <c r="D66" i="25"/>
  <c r="D81" i="25"/>
  <c r="D97" i="25"/>
  <c r="D113" i="25"/>
  <c r="D128" i="25"/>
  <c r="D20" i="25"/>
  <c r="D35" i="25"/>
  <c r="D51" i="25"/>
  <c r="D67" i="25"/>
  <c r="D82" i="25"/>
  <c r="D98" i="25"/>
  <c r="D114" i="25"/>
  <c r="D130" i="25"/>
  <c r="D7" i="25"/>
  <c r="D22" i="25"/>
  <c r="D38" i="25"/>
  <c r="D9" i="25"/>
  <c r="D41" i="25"/>
  <c r="D69" i="25"/>
  <c r="D95" i="25"/>
  <c r="D121" i="25"/>
  <c r="D12" i="25"/>
  <c r="D43" i="25"/>
  <c r="D71" i="25"/>
  <c r="D99" i="25"/>
  <c r="D126" i="25"/>
  <c r="D15" i="25"/>
  <c r="D47" i="25"/>
  <c r="D72" i="25"/>
  <c r="D101" i="25"/>
  <c r="D127" i="25"/>
  <c r="D17" i="25"/>
  <c r="D48" i="25"/>
  <c r="D74" i="25"/>
  <c r="D102" i="25"/>
  <c r="D131" i="25"/>
  <c r="D21" i="25"/>
  <c r="D53" i="25"/>
  <c r="D79" i="25"/>
  <c r="D104" i="25"/>
  <c r="D132" i="25"/>
  <c r="D23" i="25"/>
  <c r="D54" i="25"/>
  <c r="D80" i="25"/>
  <c r="D106" i="25"/>
  <c r="D133" i="25"/>
  <c r="D25" i="25"/>
  <c r="D55" i="25"/>
  <c r="D84" i="25"/>
  <c r="D110" i="25"/>
  <c r="D134" i="25"/>
  <c r="D27" i="25"/>
  <c r="D56" i="25"/>
  <c r="D85" i="25"/>
  <c r="D111" i="25"/>
  <c r="D32" i="25"/>
  <c r="D59" i="25"/>
  <c r="D86" i="25"/>
  <c r="D115" i="25"/>
  <c r="D6" i="25"/>
  <c r="D36" i="25"/>
  <c r="D65" i="25"/>
  <c r="D91" i="25"/>
  <c r="D118" i="25"/>
  <c r="D8" i="25"/>
  <c r="D39" i="25"/>
  <c r="D68" i="25"/>
  <c r="D94" i="25"/>
  <c r="D119" i="25"/>
  <c r="D33" i="25"/>
  <c r="D62" i="25"/>
  <c r="D87" i="25"/>
  <c r="D117" i="25"/>
  <c r="Q28" i="25"/>
  <c r="Q64" i="25"/>
  <c r="Q76" i="25"/>
  <c r="Q124" i="25"/>
  <c r="Q30" i="25"/>
  <c r="Q54" i="25"/>
  <c r="Q66" i="25"/>
  <c r="Q78" i="25"/>
  <c r="Q90" i="25"/>
  <c r="Q102" i="25"/>
  <c r="Q114" i="25"/>
  <c r="Q7" i="25"/>
  <c r="Q19" i="25"/>
  <c r="Q31" i="25"/>
  <c r="Q43" i="25"/>
  <c r="Q79" i="25"/>
  <c r="Q127" i="25"/>
  <c r="Q34" i="25"/>
  <c r="Q130" i="25"/>
  <c r="Q21" i="25"/>
  <c r="Q51" i="25"/>
  <c r="Q69" i="25"/>
  <c r="Q117" i="25"/>
  <c r="Q132" i="25"/>
  <c r="Q53" i="25"/>
  <c r="Q118" i="25"/>
  <c r="Q133" i="25"/>
  <c r="Q8" i="25"/>
  <c r="Q38" i="25"/>
  <c r="Q56" i="25"/>
  <c r="Q119" i="25"/>
  <c r="Q134" i="25"/>
  <c r="Q105" i="25"/>
  <c r="Q135" i="25"/>
  <c r="Q25" i="25"/>
  <c r="Q89" i="25"/>
  <c r="Q106" i="25"/>
  <c r="Q121" i="25"/>
  <c r="Q4" i="25"/>
  <c r="Q13" i="25"/>
  <c r="Q29" i="25"/>
  <c r="Q94" i="25"/>
  <c r="Q111" i="25"/>
  <c r="Q81" i="25"/>
  <c r="Q11" i="25"/>
  <c r="Q47" i="25"/>
  <c r="Q123" i="25"/>
  <c r="Q12" i="25"/>
  <c r="Q92" i="25"/>
  <c r="Q128" i="25"/>
  <c r="Q14" i="25"/>
  <c r="Q93" i="25"/>
  <c r="Q63" i="25"/>
  <c r="Q107" i="25"/>
  <c r="Q60" i="25"/>
  <c r="Q32" i="25"/>
  <c r="Q131" i="25"/>
  <c r="Q26" i="25"/>
  <c r="Q108" i="25"/>
  <c r="Q15" i="25"/>
  <c r="Q20" i="25"/>
  <c r="BC96" i="24"/>
  <c r="BV96" i="24" s="1"/>
  <c r="BD96" i="25" s="1"/>
  <c r="BC83" i="24"/>
  <c r="BV83" i="24" s="1"/>
  <c r="BD83" i="25" s="1"/>
  <c r="BC53" i="24"/>
  <c r="AK53" i="25" s="1"/>
  <c r="BC41" i="24"/>
  <c r="AK41" i="25" s="1"/>
  <c r="BC49" i="24"/>
  <c r="BV49" i="24" s="1"/>
  <c r="BD49" i="25" s="1"/>
  <c r="BC135" i="24"/>
  <c r="AZ105" i="24"/>
  <c r="AH105" i="25" s="1"/>
  <c r="AZ92" i="24"/>
  <c r="AZ79" i="24"/>
  <c r="AH79" i="25" s="1"/>
  <c r="AU114" i="24"/>
  <c r="AC114" i="25" s="1"/>
  <c r="AZ50" i="24"/>
  <c r="AH50" i="25" s="1"/>
  <c r="BD125" i="24"/>
  <c r="BW125" i="24" s="1"/>
  <c r="BE125" i="25" s="1"/>
  <c r="BD46" i="24"/>
  <c r="BW46" i="24" s="1"/>
  <c r="BE46" i="25" s="1"/>
  <c r="AU122" i="24"/>
  <c r="AC122" i="25" s="1"/>
  <c r="AP15" i="24"/>
  <c r="X15" i="25" s="1"/>
  <c r="AP28" i="24"/>
  <c r="X28" i="25" s="1"/>
  <c r="AP29" i="24"/>
  <c r="BI29" i="24" s="1"/>
  <c r="AQ29" i="25" s="1"/>
  <c r="AP33" i="24"/>
  <c r="X33" i="25" s="1"/>
  <c r="AP70" i="24"/>
  <c r="AP58" i="24"/>
  <c r="BI58" i="24" s="1"/>
  <c r="AQ58" i="25" s="1"/>
  <c r="AP131" i="24"/>
  <c r="X131" i="25" s="1"/>
  <c r="AP67" i="24"/>
  <c r="X67" i="25" s="1"/>
  <c r="AP102" i="24"/>
  <c r="BI102" i="24" s="1"/>
  <c r="AQ102" i="25" s="1"/>
  <c r="AP13" i="24"/>
  <c r="X13" i="25" s="1"/>
  <c r="AP118" i="24"/>
  <c r="X118" i="25" s="1"/>
  <c r="AP66" i="24"/>
  <c r="X66" i="25" s="1"/>
  <c r="AP27" i="24"/>
  <c r="X27" i="25" s="1"/>
  <c r="AP40" i="24"/>
  <c r="X40" i="25" s="1"/>
  <c r="AP41" i="24"/>
  <c r="X41" i="25" s="1"/>
  <c r="AP45" i="24"/>
  <c r="X45" i="25" s="1"/>
  <c r="AP86" i="24"/>
  <c r="X86" i="25" s="1"/>
  <c r="AP74" i="24"/>
  <c r="X74" i="25" s="1"/>
  <c r="AP7" i="24"/>
  <c r="X7" i="25" s="1"/>
  <c r="AP84" i="24"/>
  <c r="X84" i="25" s="1"/>
  <c r="AP134" i="24"/>
  <c r="BI134" i="24" s="1"/>
  <c r="AQ134" i="25" s="1"/>
  <c r="AP49" i="24"/>
  <c r="BI49" i="24" s="1"/>
  <c r="AQ49" i="25" s="1"/>
  <c r="AP47" i="24"/>
  <c r="X47" i="25" s="1"/>
  <c r="AP39" i="24"/>
  <c r="X39" i="25" s="1"/>
  <c r="AP52" i="24"/>
  <c r="X52" i="25" s="1"/>
  <c r="AP53" i="24"/>
  <c r="X53" i="25" s="1"/>
  <c r="AP57" i="24"/>
  <c r="X57" i="25" s="1"/>
  <c r="AP106" i="24"/>
  <c r="X106" i="25" s="1"/>
  <c r="AP94" i="24"/>
  <c r="X94" i="25" s="1"/>
  <c r="AP24" i="24"/>
  <c r="BI24" i="24" s="1"/>
  <c r="AQ24" i="25" s="1"/>
  <c r="AP103" i="24"/>
  <c r="X103" i="25" s="1"/>
  <c r="AP32" i="24"/>
  <c r="AP121" i="24"/>
  <c r="X121" i="25" s="1"/>
  <c r="AP119" i="24"/>
  <c r="BI119" i="24" s="1"/>
  <c r="AQ119" i="25" s="1"/>
  <c r="AP51" i="24"/>
  <c r="BI51" i="24" s="1"/>
  <c r="AQ51" i="25" s="1"/>
  <c r="AP64" i="24"/>
  <c r="X64" i="25" s="1"/>
  <c r="AP65" i="24"/>
  <c r="BI65" i="24" s="1"/>
  <c r="AQ65" i="25" s="1"/>
  <c r="AP69" i="24"/>
  <c r="AP122" i="24"/>
  <c r="X122" i="25" s="1"/>
  <c r="AP110" i="24"/>
  <c r="X110" i="25" s="1"/>
  <c r="AP43" i="24"/>
  <c r="X43" i="25" s="1"/>
  <c r="AP120" i="24"/>
  <c r="X120" i="25" s="1"/>
  <c r="AP68" i="24"/>
  <c r="BI68" i="24" s="1"/>
  <c r="AQ68" i="25" s="1"/>
  <c r="AP8" i="24"/>
  <c r="AP19" i="24"/>
  <c r="X19" i="25" s="1"/>
  <c r="AP63" i="24"/>
  <c r="X63" i="25" s="1"/>
  <c r="AP76" i="24"/>
  <c r="X76" i="25" s="1"/>
  <c r="AP77" i="24"/>
  <c r="BI77" i="24" s="1"/>
  <c r="AQ77" i="25" s="1"/>
  <c r="AP81" i="24"/>
  <c r="X81" i="25" s="1"/>
  <c r="AP18" i="24"/>
  <c r="X18" i="25" s="1"/>
  <c r="AP130" i="24"/>
  <c r="X130" i="25" s="1"/>
  <c r="AP60" i="24"/>
  <c r="BI60" i="24" s="1"/>
  <c r="AQ60" i="25" s="1"/>
  <c r="AP25" i="24"/>
  <c r="BI25" i="24" s="1"/>
  <c r="AQ25" i="25" s="1"/>
  <c r="AP104" i="24"/>
  <c r="BI104" i="24" s="1"/>
  <c r="AQ104" i="25" s="1"/>
  <c r="AP44" i="24"/>
  <c r="BI44" i="24" s="1"/>
  <c r="AQ44" i="25" s="1"/>
  <c r="AP55" i="24"/>
  <c r="X55" i="25" s="1"/>
  <c r="AP75" i="24"/>
  <c r="BI75" i="24" s="1"/>
  <c r="AQ75" i="25" s="1"/>
  <c r="AP88" i="24"/>
  <c r="X88" i="25" s="1"/>
  <c r="AP89" i="24"/>
  <c r="X89" i="25" s="1"/>
  <c r="AP93" i="24"/>
  <c r="X93" i="25" s="1"/>
  <c r="AP35" i="24"/>
  <c r="X35" i="25" s="1"/>
  <c r="AP6" i="24"/>
  <c r="X6" i="25" s="1"/>
  <c r="AP79" i="24"/>
  <c r="BI79" i="24" s="1"/>
  <c r="AQ79" i="25" s="1"/>
  <c r="AP61" i="24"/>
  <c r="X61" i="25" s="1"/>
  <c r="AP36" i="24"/>
  <c r="X36" i="25" s="1"/>
  <c r="AP80" i="24"/>
  <c r="BI80" i="24" s="1"/>
  <c r="AQ80" i="25" s="1"/>
  <c r="AP91" i="24"/>
  <c r="BI91" i="24" s="1"/>
  <c r="AQ91" i="25" s="1"/>
  <c r="AP87" i="24"/>
  <c r="AP100" i="24"/>
  <c r="X100" i="25" s="1"/>
  <c r="AP101" i="24"/>
  <c r="X101" i="25" s="1"/>
  <c r="AP105" i="24"/>
  <c r="BI105" i="24" s="1"/>
  <c r="AQ105" i="25" s="1"/>
  <c r="AP54" i="24"/>
  <c r="BI54" i="24" s="1"/>
  <c r="AQ54" i="25" s="1"/>
  <c r="AP23" i="24"/>
  <c r="X23" i="25" s="1"/>
  <c r="AP96" i="24"/>
  <c r="BI96" i="24" s="1"/>
  <c r="AQ96" i="25" s="1"/>
  <c r="AP97" i="24"/>
  <c r="X97" i="25" s="1"/>
  <c r="AP72" i="24"/>
  <c r="X72" i="25" s="1"/>
  <c r="AP116" i="24"/>
  <c r="X116" i="25" s="1"/>
  <c r="AP126" i="24"/>
  <c r="X126" i="25" s="1"/>
  <c r="AP99" i="24"/>
  <c r="X99" i="25" s="1"/>
  <c r="AP112" i="24"/>
  <c r="X112" i="25" s="1"/>
  <c r="AP113" i="24"/>
  <c r="X113" i="25" s="1"/>
  <c r="AP117" i="24"/>
  <c r="X117" i="25" s="1"/>
  <c r="AP71" i="24"/>
  <c r="X71" i="25" s="1"/>
  <c r="AP42" i="24"/>
  <c r="BI42" i="24" s="1"/>
  <c r="AQ42" i="25" s="1"/>
  <c r="AP115" i="24"/>
  <c r="X115" i="25" s="1"/>
  <c r="AP128" i="24"/>
  <c r="BI128" i="24" s="1"/>
  <c r="AQ128" i="25" s="1"/>
  <c r="AP108" i="24"/>
  <c r="X108" i="25" s="1"/>
  <c r="AP83" i="24"/>
  <c r="X83" i="25" s="1"/>
  <c r="AP20" i="24"/>
  <c r="X20" i="25" s="1"/>
  <c r="AP111" i="24"/>
  <c r="X111" i="25" s="1"/>
  <c r="AP124" i="24"/>
  <c r="X124" i="25" s="1"/>
  <c r="AP125" i="24"/>
  <c r="X125" i="25" s="1"/>
  <c r="AP129" i="24"/>
  <c r="BI129" i="24" s="1"/>
  <c r="AQ129" i="25" s="1"/>
  <c r="AP90" i="24"/>
  <c r="X90" i="25" s="1"/>
  <c r="AP59" i="24"/>
  <c r="X59" i="25" s="1"/>
  <c r="AP132" i="24"/>
  <c r="BI132" i="24" s="1"/>
  <c r="AQ132" i="25" s="1"/>
  <c r="AP26" i="24"/>
  <c r="BI26" i="24" s="1"/>
  <c r="AQ26" i="25" s="1"/>
  <c r="AP37" i="24"/>
  <c r="X37" i="25" s="1"/>
  <c r="AP85" i="24"/>
  <c r="X85" i="25" s="1"/>
  <c r="AP56" i="24"/>
  <c r="X56" i="25" s="1"/>
  <c r="AP123" i="24"/>
  <c r="BI123" i="24" s="1"/>
  <c r="AQ123" i="25" s="1"/>
  <c r="AP136" i="24"/>
  <c r="BI136" i="24" s="1"/>
  <c r="AQ136" i="25" s="1"/>
  <c r="AP4" i="24"/>
  <c r="BI4" i="24" s="1"/>
  <c r="AQ4" i="25" s="1"/>
  <c r="AP14" i="24"/>
  <c r="X14" i="25" s="1"/>
  <c r="AP107" i="24"/>
  <c r="BI107" i="24" s="1"/>
  <c r="AQ107" i="25" s="1"/>
  <c r="AP78" i="24"/>
  <c r="X78" i="25" s="1"/>
  <c r="AP12" i="24"/>
  <c r="X12" i="25" s="1"/>
  <c r="AP62" i="24"/>
  <c r="X62" i="25" s="1"/>
  <c r="AP73" i="24"/>
  <c r="X73" i="25" s="1"/>
  <c r="AP10" i="24"/>
  <c r="AP92" i="24"/>
  <c r="X92" i="25" s="1"/>
  <c r="AP135" i="24"/>
  <c r="X135" i="25" s="1"/>
  <c r="AP5" i="24"/>
  <c r="X5" i="25" s="1"/>
  <c r="AP9" i="24"/>
  <c r="X9" i="25" s="1"/>
  <c r="AP34" i="24"/>
  <c r="X34" i="25" s="1"/>
  <c r="AP22" i="24"/>
  <c r="AP95" i="24"/>
  <c r="BI95" i="24" s="1"/>
  <c r="AQ95" i="25" s="1"/>
  <c r="AP31" i="24"/>
  <c r="X31" i="25" s="1"/>
  <c r="AP98" i="24"/>
  <c r="BI98" i="24" s="1"/>
  <c r="AQ98" i="25" s="1"/>
  <c r="AP109" i="24"/>
  <c r="X109" i="25" s="1"/>
  <c r="AP46" i="24"/>
  <c r="X46" i="25" s="1"/>
  <c r="AP127" i="24"/>
  <c r="X127" i="25" s="1"/>
  <c r="AP16" i="24"/>
  <c r="X16" i="25" s="1"/>
  <c r="AP17" i="24"/>
  <c r="X17" i="25" s="1"/>
  <c r="AP21" i="24"/>
  <c r="X21" i="25" s="1"/>
  <c r="AP50" i="24"/>
  <c r="BI50" i="24" s="1"/>
  <c r="AQ50" i="25" s="1"/>
  <c r="AP38" i="24"/>
  <c r="BI38" i="24" s="1"/>
  <c r="AQ38" i="25" s="1"/>
  <c r="AP114" i="24"/>
  <c r="AP48" i="24"/>
  <c r="BI48" i="24" s="1"/>
  <c r="AQ48" i="25" s="1"/>
  <c r="AP133" i="24"/>
  <c r="X133" i="25" s="1"/>
  <c r="AP11" i="24"/>
  <c r="X11" i="25" s="1"/>
  <c r="AP82" i="24"/>
  <c r="X82" i="25" s="1"/>
  <c r="AP30" i="24"/>
  <c r="X30" i="25" s="1"/>
  <c r="BA79" i="24"/>
  <c r="BA104" i="24"/>
  <c r="BT104" i="24" s="1"/>
  <c r="BB104" i="25" s="1"/>
  <c r="BA117" i="24"/>
  <c r="BT117" i="24" s="1"/>
  <c r="BB117" i="25" s="1"/>
  <c r="BA130" i="24"/>
  <c r="BA63" i="24"/>
  <c r="BA133" i="24"/>
  <c r="BT133" i="24" s="1"/>
  <c r="BB133" i="25" s="1"/>
  <c r="BA42" i="24"/>
  <c r="BA36" i="24"/>
  <c r="AI36" i="25" s="1"/>
  <c r="BA102" i="24"/>
  <c r="BT102" i="24" s="1"/>
  <c r="BB102" i="25" s="1"/>
  <c r="BA28" i="24"/>
  <c r="AI28" i="25" s="1"/>
  <c r="BA50" i="24"/>
  <c r="BT50" i="24" s="1"/>
  <c r="BB50" i="25" s="1"/>
  <c r="BA116" i="24"/>
  <c r="BA129" i="24"/>
  <c r="AI129" i="25" s="1"/>
  <c r="BA14" i="24"/>
  <c r="AI14" i="25" s="1"/>
  <c r="BA78" i="24"/>
  <c r="AI78" i="25" s="1"/>
  <c r="BA5" i="24"/>
  <c r="BA60" i="24"/>
  <c r="BA64" i="24"/>
  <c r="BT64" i="24" s="1"/>
  <c r="BB64" i="25" s="1"/>
  <c r="BA131" i="24"/>
  <c r="BA73" i="24"/>
  <c r="AI73" i="25" s="1"/>
  <c r="BA122" i="24"/>
  <c r="AI122" i="25" s="1"/>
  <c r="BA83" i="24"/>
  <c r="AI83" i="25" s="1"/>
  <c r="BA128" i="24"/>
  <c r="AI128" i="25" s="1"/>
  <c r="BA10" i="24"/>
  <c r="AI10" i="25" s="1"/>
  <c r="BA29" i="24"/>
  <c r="AI29" i="25" s="1"/>
  <c r="BA96" i="24"/>
  <c r="AI96" i="25" s="1"/>
  <c r="BA23" i="24"/>
  <c r="BT23" i="24" s="1"/>
  <c r="BB23" i="25" s="1"/>
  <c r="BA75" i="24"/>
  <c r="BA89" i="24"/>
  <c r="BA13" i="24"/>
  <c r="AI13" i="25" s="1"/>
  <c r="BA112" i="24"/>
  <c r="BA54" i="24"/>
  <c r="BT54" i="24" s="1"/>
  <c r="BB54" i="25" s="1"/>
  <c r="BA9" i="24"/>
  <c r="AI9" i="25" s="1"/>
  <c r="BA22" i="24"/>
  <c r="AI22" i="25" s="1"/>
  <c r="BA47" i="24"/>
  <c r="BT47" i="24" s="1"/>
  <c r="BB47" i="25" s="1"/>
  <c r="BA111" i="24"/>
  <c r="AI111" i="25" s="1"/>
  <c r="BA38" i="24"/>
  <c r="BA90" i="24"/>
  <c r="AI90" i="25" s="1"/>
  <c r="BA120" i="24"/>
  <c r="AI120" i="25" s="1"/>
  <c r="BA51" i="24"/>
  <c r="BA43" i="24"/>
  <c r="BA124" i="24"/>
  <c r="AI124" i="25" s="1"/>
  <c r="BA76" i="24"/>
  <c r="BA8" i="24"/>
  <c r="AI8" i="25" s="1"/>
  <c r="BA21" i="24"/>
  <c r="BT21" i="24" s="1"/>
  <c r="BB21" i="25" s="1"/>
  <c r="BA34" i="24"/>
  <c r="AI34" i="25" s="1"/>
  <c r="BA62" i="24"/>
  <c r="AI62" i="25" s="1"/>
  <c r="BA126" i="24"/>
  <c r="AI126" i="25" s="1"/>
  <c r="BA53" i="24"/>
  <c r="AI53" i="25" s="1"/>
  <c r="BA108" i="24"/>
  <c r="AI108" i="25" s="1"/>
  <c r="BA11" i="24"/>
  <c r="BA97" i="24"/>
  <c r="BA84" i="24"/>
  <c r="BA55" i="24"/>
  <c r="AI55" i="25" s="1"/>
  <c r="BA20" i="24"/>
  <c r="BA33" i="24"/>
  <c r="AI33" i="25" s="1"/>
  <c r="BA46" i="24"/>
  <c r="AI46" i="25" s="1"/>
  <c r="BA77" i="24"/>
  <c r="AI77" i="25" s="1"/>
  <c r="BA19" i="24"/>
  <c r="AI19" i="25" s="1"/>
  <c r="BA71" i="24"/>
  <c r="AI71" i="25" s="1"/>
  <c r="BA123" i="24"/>
  <c r="BT123" i="24" s="1"/>
  <c r="BB123" i="25" s="1"/>
  <c r="BA39" i="24"/>
  <c r="BT39" i="24" s="1"/>
  <c r="BB39" i="25" s="1"/>
  <c r="BA135" i="24"/>
  <c r="BA127" i="24"/>
  <c r="BA132" i="24"/>
  <c r="BA32" i="24"/>
  <c r="AI32" i="25" s="1"/>
  <c r="BA45" i="24"/>
  <c r="AI45" i="25" s="1"/>
  <c r="BA58" i="24"/>
  <c r="AI58" i="25" s="1"/>
  <c r="BA95" i="24"/>
  <c r="BT95" i="24" s="1"/>
  <c r="BB95" i="25" s="1"/>
  <c r="BA37" i="24"/>
  <c r="AI37" i="25" s="1"/>
  <c r="BA86" i="24"/>
  <c r="AI86" i="25" s="1"/>
  <c r="BA6" i="24"/>
  <c r="AI6" i="25" s="1"/>
  <c r="BA65" i="24"/>
  <c r="BT65" i="24" s="1"/>
  <c r="BB65" i="25" s="1"/>
  <c r="BA25" i="24"/>
  <c r="AI25" i="25" s="1"/>
  <c r="BA31" i="24"/>
  <c r="AI31" i="25" s="1"/>
  <c r="BA59" i="24"/>
  <c r="BA98" i="24"/>
  <c r="BA44" i="24"/>
  <c r="BT44" i="24" s="1"/>
  <c r="BB44" i="25" s="1"/>
  <c r="BA57" i="24"/>
  <c r="AI57" i="25" s="1"/>
  <c r="BA70" i="24"/>
  <c r="AI70" i="25" s="1"/>
  <c r="BA110" i="24"/>
  <c r="AI110" i="25" s="1"/>
  <c r="BA52" i="24"/>
  <c r="AI52" i="25" s="1"/>
  <c r="BA101" i="24"/>
  <c r="AI101" i="25" s="1"/>
  <c r="BA35" i="24"/>
  <c r="BA91" i="24"/>
  <c r="BA66" i="24"/>
  <c r="BT66" i="24" s="1"/>
  <c r="BB66" i="25" s="1"/>
  <c r="BA99" i="24"/>
  <c r="AI99" i="25" s="1"/>
  <c r="BA136" i="24"/>
  <c r="BA24" i="24"/>
  <c r="BA56" i="24"/>
  <c r="BT56" i="24" s="1"/>
  <c r="BB56" i="25" s="1"/>
  <c r="BA69" i="24"/>
  <c r="BA82" i="24"/>
  <c r="AI82" i="25" s="1"/>
  <c r="BA125" i="24"/>
  <c r="BT125" i="24" s="1"/>
  <c r="BB125" i="25" s="1"/>
  <c r="BA67" i="24"/>
  <c r="BT67" i="24" s="1"/>
  <c r="BB67" i="25" s="1"/>
  <c r="BA119" i="24"/>
  <c r="AI119" i="25" s="1"/>
  <c r="BA61" i="24"/>
  <c r="BT61" i="24" s="1"/>
  <c r="BB61" i="25" s="1"/>
  <c r="BA121" i="24"/>
  <c r="BA107" i="24"/>
  <c r="AI107" i="25" s="1"/>
  <c r="BA40" i="24"/>
  <c r="AI40" i="25" s="1"/>
  <c r="BA17" i="24"/>
  <c r="BA4" i="24"/>
  <c r="BA68" i="24"/>
  <c r="BT68" i="24" s="1"/>
  <c r="BB68" i="25" s="1"/>
  <c r="BA81" i="24"/>
  <c r="AI81" i="25" s="1"/>
  <c r="BA94" i="24"/>
  <c r="AI94" i="25" s="1"/>
  <c r="BA15" i="24"/>
  <c r="AI15" i="25" s="1"/>
  <c r="BA85" i="24"/>
  <c r="AI85" i="25" s="1"/>
  <c r="BA134" i="24"/>
  <c r="BT134" i="24" s="1"/>
  <c r="BB134" i="25" s="1"/>
  <c r="BA88" i="24"/>
  <c r="AI88" i="25" s="1"/>
  <c r="BA18" i="24"/>
  <c r="BT18" i="24" s="1"/>
  <c r="BB18" i="25" s="1"/>
  <c r="BA26" i="24"/>
  <c r="AI26" i="25" s="1"/>
  <c r="BA103" i="24"/>
  <c r="BT103" i="24" s="1"/>
  <c r="BB103" i="25" s="1"/>
  <c r="BA87" i="24"/>
  <c r="AI87" i="25" s="1"/>
  <c r="BA80" i="24"/>
  <c r="BA93" i="24"/>
  <c r="AI93" i="25" s="1"/>
  <c r="BA106" i="24"/>
  <c r="BA30" i="24"/>
  <c r="BT30" i="24" s="1"/>
  <c r="BB30" i="25" s="1"/>
  <c r="BA100" i="24"/>
  <c r="AI100" i="25" s="1"/>
  <c r="BA12" i="24"/>
  <c r="AI12" i="25" s="1"/>
  <c r="BA114" i="24"/>
  <c r="AI114" i="25" s="1"/>
  <c r="BA49" i="24"/>
  <c r="BT49" i="24" s="1"/>
  <c r="BB49" i="25" s="1"/>
  <c r="BA72" i="24"/>
  <c r="BT72" i="24" s="1"/>
  <c r="BB72" i="25" s="1"/>
  <c r="BA41" i="24"/>
  <c r="AI41" i="25" s="1"/>
  <c r="BA16" i="24"/>
  <c r="BA92" i="24"/>
  <c r="BA105" i="24"/>
  <c r="BA118" i="24"/>
  <c r="BT118" i="24" s="1"/>
  <c r="BB118" i="25" s="1"/>
  <c r="BA48" i="24"/>
  <c r="BA115" i="24"/>
  <c r="BT115" i="24" s="1"/>
  <c r="BB115" i="25" s="1"/>
  <c r="BA27" i="24"/>
  <c r="BT27" i="24" s="1"/>
  <c r="BB27" i="25" s="1"/>
  <c r="BA7" i="24"/>
  <c r="BT7" i="24" s="1"/>
  <c r="BB7" i="25" s="1"/>
  <c r="BA74" i="24"/>
  <c r="BT74" i="24" s="1"/>
  <c r="BB74" i="25" s="1"/>
  <c r="BA109" i="24"/>
  <c r="BA113" i="24"/>
  <c r="AU83" i="24"/>
  <c r="AU19" i="24"/>
  <c r="AC19" i="25" s="1"/>
  <c r="AU103" i="24"/>
  <c r="BN103" i="24" s="1"/>
  <c r="AV103" i="25" s="1"/>
  <c r="AY5" i="24"/>
  <c r="AY114" i="24"/>
  <c r="AG114" i="25" s="1"/>
  <c r="AY127" i="24"/>
  <c r="AG127" i="25" s="1"/>
  <c r="AY22" i="24"/>
  <c r="BR22" i="24" s="1"/>
  <c r="AZ22" i="25" s="1"/>
  <c r="AY74" i="24"/>
  <c r="AG74" i="25" s="1"/>
  <c r="AY123" i="24"/>
  <c r="AG123" i="25" s="1"/>
  <c r="AY81" i="24"/>
  <c r="AG81" i="25" s="1"/>
  <c r="AY84" i="24"/>
  <c r="BR84" i="24" s="1"/>
  <c r="AZ84" i="25" s="1"/>
  <c r="AY73" i="24"/>
  <c r="AY24" i="24"/>
  <c r="AG24" i="25" s="1"/>
  <c r="AY96" i="24"/>
  <c r="AY126" i="24"/>
  <c r="AG126" i="25" s="1"/>
  <c r="AY8" i="24"/>
  <c r="AY37" i="24"/>
  <c r="AG37" i="25" s="1"/>
  <c r="AY89" i="24"/>
  <c r="AG89" i="25" s="1"/>
  <c r="AY16" i="24"/>
  <c r="AG16" i="25" s="1"/>
  <c r="AY105" i="24"/>
  <c r="AG105" i="25" s="1"/>
  <c r="AY109" i="24"/>
  <c r="AG109" i="25" s="1"/>
  <c r="AY111" i="24"/>
  <c r="BR111" i="24" s="1"/>
  <c r="AZ111" i="25" s="1"/>
  <c r="AY77" i="24"/>
  <c r="AG77" i="25" s="1"/>
  <c r="AY48" i="24"/>
  <c r="AG48" i="25" s="1"/>
  <c r="AY119" i="24"/>
  <c r="AG119" i="25" s="1"/>
  <c r="AY50" i="24"/>
  <c r="AY7" i="24"/>
  <c r="BR7" i="24" s="1"/>
  <c r="AZ7" i="25" s="1"/>
  <c r="AY20" i="24"/>
  <c r="AY52" i="24"/>
  <c r="BR52" i="24" s="1"/>
  <c r="AZ52" i="25" s="1"/>
  <c r="AY107" i="24"/>
  <c r="AG107" i="25" s="1"/>
  <c r="AY34" i="24"/>
  <c r="AG34" i="25" s="1"/>
  <c r="AY129" i="24"/>
  <c r="AG129" i="25" s="1"/>
  <c r="AY132" i="24"/>
  <c r="AG132" i="25" s="1"/>
  <c r="AY40" i="24"/>
  <c r="AG40" i="25" s="1"/>
  <c r="AY134" i="24"/>
  <c r="BR134" i="24" s="1"/>
  <c r="AZ134" i="25" s="1"/>
  <c r="AY98" i="24"/>
  <c r="BR98" i="24" s="1"/>
  <c r="AZ98" i="25" s="1"/>
  <c r="AY6" i="24"/>
  <c r="AG6" i="25" s="1"/>
  <c r="AY19" i="24"/>
  <c r="AY32" i="24"/>
  <c r="AG32" i="25" s="1"/>
  <c r="AY70" i="24"/>
  <c r="AG70" i="25" s="1"/>
  <c r="AY122" i="24"/>
  <c r="AG122" i="25" s="1"/>
  <c r="AY49" i="24"/>
  <c r="AY10" i="24"/>
  <c r="BR10" i="24" s="1"/>
  <c r="AZ10" i="25" s="1"/>
  <c r="AY21" i="24"/>
  <c r="AG21" i="25" s="1"/>
  <c r="AY76" i="24"/>
  <c r="AG76" i="25" s="1"/>
  <c r="AY25" i="24"/>
  <c r="BR25" i="24" s="1"/>
  <c r="AZ25" i="25" s="1"/>
  <c r="AY14" i="24"/>
  <c r="AG14" i="25" s="1"/>
  <c r="AY101" i="24"/>
  <c r="AY18" i="24"/>
  <c r="BR18" i="24" s="1"/>
  <c r="AZ18" i="25" s="1"/>
  <c r="AY31" i="24"/>
  <c r="AG31" i="25" s="1"/>
  <c r="AY44" i="24"/>
  <c r="AG44" i="25" s="1"/>
  <c r="AY85" i="24"/>
  <c r="AG85" i="25" s="1"/>
  <c r="AY4" i="24"/>
  <c r="AG4" i="25" s="1"/>
  <c r="AY64" i="24"/>
  <c r="BR64" i="24" s="1"/>
  <c r="AZ64" i="25" s="1"/>
  <c r="AY35" i="24"/>
  <c r="AG35" i="25" s="1"/>
  <c r="AY46" i="24"/>
  <c r="BR46" i="24" s="1"/>
  <c r="AZ46" i="25" s="1"/>
  <c r="AY113" i="24"/>
  <c r="AG113" i="25" s="1"/>
  <c r="AY86" i="24"/>
  <c r="AG86" i="25" s="1"/>
  <c r="AY63" i="24"/>
  <c r="AG63" i="25" s="1"/>
  <c r="AY53" i="24"/>
  <c r="AY30" i="24"/>
  <c r="AY43" i="24"/>
  <c r="AG43" i="25" s="1"/>
  <c r="AY56" i="24"/>
  <c r="AG56" i="25" s="1"/>
  <c r="AY100" i="24"/>
  <c r="AG100" i="25" s="1"/>
  <c r="AY12" i="24"/>
  <c r="AY82" i="24"/>
  <c r="BR82" i="24" s="1"/>
  <c r="AZ82" i="25" s="1"/>
  <c r="AY58" i="24"/>
  <c r="AG58" i="25" s="1"/>
  <c r="AY69" i="24"/>
  <c r="AG69" i="25" s="1"/>
  <c r="AY17" i="24"/>
  <c r="AG17" i="25" s="1"/>
  <c r="AY135" i="24"/>
  <c r="AG135" i="25" s="1"/>
  <c r="AY120" i="24"/>
  <c r="AG120" i="25" s="1"/>
  <c r="AY65" i="24"/>
  <c r="AG65" i="25" s="1"/>
  <c r="AY42" i="24"/>
  <c r="AG42" i="25" s="1"/>
  <c r="AY55" i="24"/>
  <c r="AG55" i="25" s="1"/>
  <c r="AY68" i="24"/>
  <c r="BR68" i="24" s="1"/>
  <c r="AZ68" i="25" s="1"/>
  <c r="AY118" i="24"/>
  <c r="AG118" i="25" s="1"/>
  <c r="AY27" i="24"/>
  <c r="BR27" i="24" s="1"/>
  <c r="AZ27" i="25" s="1"/>
  <c r="AY97" i="24"/>
  <c r="AG97" i="25" s="1"/>
  <c r="AY83" i="24"/>
  <c r="AG83" i="25" s="1"/>
  <c r="AY94" i="24"/>
  <c r="AG94" i="25" s="1"/>
  <c r="AY51" i="24"/>
  <c r="AG51" i="25" s="1"/>
  <c r="AY28" i="24"/>
  <c r="AG28" i="25" s="1"/>
  <c r="AY54" i="24"/>
  <c r="AG54" i="25" s="1"/>
  <c r="AY67" i="24"/>
  <c r="AY80" i="24"/>
  <c r="AG80" i="25" s="1"/>
  <c r="AY133" i="24"/>
  <c r="BR133" i="24" s="1"/>
  <c r="AZ133" i="25" s="1"/>
  <c r="AY45" i="24"/>
  <c r="AG45" i="25" s="1"/>
  <c r="AY112" i="24"/>
  <c r="AY106" i="24"/>
  <c r="AG106" i="25" s="1"/>
  <c r="AY117" i="24"/>
  <c r="AG117" i="25" s="1"/>
  <c r="AY88" i="24"/>
  <c r="AG88" i="25" s="1"/>
  <c r="AY87" i="24"/>
  <c r="AG87" i="25" s="1"/>
  <c r="AY66" i="24"/>
  <c r="BR66" i="24" s="1"/>
  <c r="AZ66" i="25" s="1"/>
  <c r="AY79" i="24"/>
  <c r="AG79" i="25" s="1"/>
  <c r="AY92" i="24"/>
  <c r="BR92" i="24" s="1"/>
  <c r="AZ92" i="25" s="1"/>
  <c r="AY11" i="24"/>
  <c r="AY60" i="24"/>
  <c r="AY130" i="24"/>
  <c r="AG130" i="25" s="1"/>
  <c r="AY131" i="24"/>
  <c r="BR131" i="24" s="1"/>
  <c r="AZ131" i="25" s="1"/>
  <c r="AY38" i="24"/>
  <c r="BR38" i="24" s="1"/>
  <c r="AZ38" i="25" s="1"/>
  <c r="AY124" i="24"/>
  <c r="AG124" i="25" s="1"/>
  <c r="AY136" i="24"/>
  <c r="AG136" i="25" s="1"/>
  <c r="AY121" i="24"/>
  <c r="BR121" i="24" s="1"/>
  <c r="AZ121" i="25" s="1"/>
  <c r="AY103" i="24"/>
  <c r="BR103" i="24" s="1"/>
  <c r="AZ103" i="25" s="1"/>
  <c r="AY41" i="24"/>
  <c r="AG41" i="25" s="1"/>
  <c r="AY33" i="24"/>
  <c r="BR33" i="24" s="1"/>
  <c r="AZ33" i="25" s="1"/>
  <c r="AY110" i="24"/>
  <c r="AG110" i="25" s="1"/>
  <c r="AY95" i="24"/>
  <c r="AY62" i="24"/>
  <c r="AG62" i="25" s="1"/>
  <c r="AY15" i="24"/>
  <c r="AG15" i="25" s="1"/>
  <c r="AY78" i="24"/>
  <c r="BR78" i="24" s="1"/>
  <c r="AZ78" i="25" s="1"/>
  <c r="AY91" i="24"/>
  <c r="AY104" i="24"/>
  <c r="AG104" i="25" s="1"/>
  <c r="AY26" i="24"/>
  <c r="AG26" i="25" s="1"/>
  <c r="AY75" i="24"/>
  <c r="AG75" i="25" s="1"/>
  <c r="AY9" i="24"/>
  <c r="AG9" i="25" s="1"/>
  <c r="AY13" i="24"/>
  <c r="AG13" i="25" s="1"/>
  <c r="AY72" i="24"/>
  <c r="BR72" i="24" s="1"/>
  <c r="AZ72" i="25" s="1"/>
  <c r="AY23" i="24"/>
  <c r="BR23" i="24" s="1"/>
  <c r="AZ23" i="25" s="1"/>
  <c r="AY29" i="24"/>
  <c r="AY90" i="24"/>
  <c r="BR90" i="24" s="1"/>
  <c r="AZ90" i="25" s="1"/>
  <c r="AY116" i="24"/>
  <c r="AG116" i="25" s="1"/>
  <c r="AY93" i="24"/>
  <c r="AG93" i="25" s="1"/>
  <c r="AY36" i="24"/>
  <c r="AY71" i="24"/>
  <c r="AG71" i="25" s="1"/>
  <c r="AU38" i="24"/>
  <c r="AC38" i="25" s="1"/>
  <c r="AU50" i="24"/>
  <c r="BN50" i="24" s="1"/>
  <c r="AV50" i="25" s="1"/>
  <c r="AU88" i="24"/>
  <c r="AC88" i="25" s="1"/>
  <c r="AU23" i="24"/>
  <c r="AC23" i="25" s="1"/>
  <c r="BC114" i="24"/>
  <c r="BC68" i="24"/>
  <c r="AK68" i="25" s="1"/>
  <c r="BC82" i="24"/>
  <c r="AK82" i="25" s="1"/>
  <c r="BC95" i="24"/>
  <c r="BC108" i="24"/>
  <c r="BV108" i="24" s="1"/>
  <c r="BD108" i="25" s="1"/>
  <c r="BC122" i="24"/>
  <c r="AK122" i="25" s="1"/>
  <c r="BC101" i="24"/>
  <c r="AK101" i="25" s="1"/>
  <c r="BC67" i="24"/>
  <c r="AK67" i="25" s="1"/>
  <c r="BC75" i="24"/>
  <c r="BV75" i="24" s="1"/>
  <c r="BD75" i="25" s="1"/>
  <c r="BC90" i="24"/>
  <c r="AK90" i="25" s="1"/>
  <c r="BC103" i="24"/>
  <c r="AK103" i="25" s="1"/>
  <c r="BC91" i="24"/>
  <c r="AK91" i="25" s="1"/>
  <c r="BC80" i="24"/>
  <c r="BV80" i="24" s="1"/>
  <c r="BD80" i="25" s="1"/>
  <c r="BC94" i="24"/>
  <c r="AK94" i="25" s="1"/>
  <c r="BC107" i="24"/>
  <c r="BC120" i="24"/>
  <c r="BC134" i="24"/>
  <c r="BC123" i="24"/>
  <c r="AK123" i="25" s="1"/>
  <c r="BC89" i="24"/>
  <c r="BV89" i="24" s="1"/>
  <c r="BD89" i="25" s="1"/>
  <c r="BC112" i="24"/>
  <c r="AK112" i="25" s="1"/>
  <c r="BC125" i="24"/>
  <c r="AK125" i="25" s="1"/>
  <c r="BC43" i="24"/>
  <c r="BV43" i="24" s="1"/>
  <c r="BD43" i="25" s="1"/>
  <c r="BC9" i="24"/>
  <c r="AK9" i="25" s="1"/>
  <c r="BC113" i="24"/>
  <c r="AK113" i="25" s="1"/>
  <c r="BC92" i="24"/>
  <c r="BV92" i="24" s="1"/>
  <c r="BD92" i="25" s="1"/>
  <c r="BC106" i="24"/>
  <c r="AK106" i="25" s="1"/>
  <c r="BC119" i="24"/>
  <c r="BC132" i="24"/>
  <c r="BC17" i="24"/>
  <c r="AK17" i="25" s="1"/>
  <c r="BC5" i="24"/>
  <c r="AK5" i="25" s="1"/>
  <c r="BC111" i="24"/>
  <c r="BC13" i="24"/>
  <c r="BV13" i="24" s="1"/>
  <c r="BD13" i="25" s="1"/>
  <c r="BC30" i="24"/>
  <c r="BV30" i="24" s="1"/>
  <c r="BD30" i="25" s="1"/>
  <c r="BC105" i="24"/>
  <c r="AK105" i="25" s="1"/>
  <c r="BC126" i="24"/>
  <c r="AK126" i="25" s="1"/>
  <c r="BC104" i="24"/>
  <c r="AK104" i="25" s="1"/>
  <c r="BC118" i="24"/>
  <c r="AK118" i="25" s="1"/>
  <c r="BC131" i="24"/>
  <c r="AK131" i="25" s="1"/>
  <c r="BC14" i="24"/>
  <c r="BC39" i="24"/>
  <c r="BC27" i="24"/>
  <c r="AK27" i="25" s="1"/>
  <c r="BC129" i="24"/>
  <c r="AK129" i="25" s="1"/>
  <c r="BC51" i="24"/>
  <c r="AK51" i="25" s="1"/>
  <c r="BC65" i="24"/>
  <c r="AK65" i="25" s="1"/>
  <c r="BC7" i="24"/>
  <c r="AK7" i="25" s="1"/>
  <c r="BC93" i="24"/>
  <c r="AK93" i="25" s="1"/>
  <c r="BC116" i="24"/>
  <c r="AK116" i="25" s="1"/>
  <c r="BC130" i="24"/>
  <c r="AK130" i="25" s="1"/>
  <c r="BC12" i="24"/>
  <c r="AK12" i="25" s="1"/>
  <c r="BC26" i="24"/>
  <c r="AK26" i="25" s="1"/>
  <c r="BC57" i="24"/>
  <c r="AK57" i="25" s="1"/>
  <c r="BC45" i="24"/>
  <c r="BC15" i="24"/>
  <c r="AK15" i="25" s="1"/>
  <c r="BC85" i="24"/>
  <c r="BV85" i="24" s="1"/>
  <c r="BD85" i="25" s="1"/>
  <c r="BC102" i="24"/>
  <c r="AK102" i="25" s="1"/>
  <c r="BC69" i="24"/>
  <c r="AK69" i="25" s="1"/>
  <c r="BC29" i="24"/>
  <c r="AK29" i="25" s="1"/>
  <c r="BC128" i="24"/>
  <c r="AK128" i="25" s="1"/>
  <c r="BC11" i="24"/>
  <c r="AK11" i="25" s="1"/>
  <c r="BC24" i="24"/>
  <c r="AK24" i="25" s="1"/>
  <c r="BC38" i="24"/>
  <c r="BV38" i="24" s="1"/>
  <c r="BD38" i="25" s="1"/>
  <c r="BC78" i="24"/>
  <c r="AK78" i="25" s="1"/>
  <c r="BC66" i="24"/>
  <c r="BV66" i="24" s="1"/>
  <c r="BD66" i="25" s="1"/>
  <c r="BC33" i="24"/>
  <c r="BC117" i="24"/>
  <c r="BC136" i="24"/>
  <c r="BV136" i="24" s="1"/>
  <c r="BD136" i="25" s="1"/>
  <c r="BC133" i="24"/>
  <c r="AK133" i="25" s="1"/>
  <c r="BC10" i="24"/>
  <c r="AK10" i="25" s="1"/>
  <c r="BC23" i="24"/>
  <c r="AK23" i="25" s="1"/>
  <c r="BC36" i="24"/>
  <c r="AK36" i="25" s="1"/>
  <c r="BC50" i="24"/>
  <c r="AK50" i="25" s="1"/>
  <c r="BC100" i="24"/>
  <c r="AK100" i="25" s="1"/>
  <c r="BC88" i="24"/>
  <c r="AK88" i="25" s="1"/>
  <c r="BC54" i="24"/>
  <c r="AK54" i="25" s="1"/>
  <c r="BC16" i="24"/>
  <c r="BC21" i="24"/>
  <c r="BC31" i="24"/>
  <c r="BC84" i="24"/>
  <c r="AK84" i="25" s="1"/>
  <c r="BC8" i="24"/>
  <c r="AK8" i="25" s="1"/>
  <c r="BC22" i="24"/>
  <c r="AK22" i="25" s="1"/>
  <c r="BC35" i="24"/>
  <c r="BV35" i="24" s="1"/>
  <c r="BD35" i="25" s="1"/>
  <c r="BC48" i="24"/>
  <c r="BV48" i="24" s="1"/>
  <c r="BD48" i="25" s="1"/>
  <c r="BC62" i="24"/>
  <c r="BV62" i="24" s="1"/>
  <c r="BD62" i="25" s="1"/>
  <c r="BC121" i="24"/>
  <c r="AK121" i="25" s="1"/>
  <c r="BC109" i="24"/>
  <c r="AK109" i="25" s="1"/>
  <c r="BC76" i="24"/>
  <c r="AK76" i="25" s="1"/>
  <c r="BC52" i="24"/>
  <c r="BC77" i="24"/>
  <c r="BC55" i="24"/>
  <c r="BC20" i="24"/>
  <c r="AK20" i="25" s="1"/>
  <c r="BC34" i="24"/>
  <c r="AK34" i="25" s="1"/>
  <c r="BC47" i="24"/>
  <c r="BV47" i="24" s="1"/>
  <c r="BD47" i="25" s="1"/>
  <c r="BC60" i="24"/>
  <c r="AK60" i="25" s="1"/>
  <c r="BC74" i="24"/>
  <c r="AK74" i="25" s="1"/>
  <c r="BC18" i="24"/>
  <c r="AK18" i="25" s="1"/>
  <c r="BC127" i="24"/>
  <c r="AK127" i="25" s="1"/>
  <c r="BC97" i="24"/>
  <c r="AK97" i="25" s="1"/>
  <c r="BC87" i="24"/>
  <c r="AK87" i="25" s="1"/>
  <c r="BC25" i="24"/>
  <c r="BC63" i="24"/>
  <c r="AK63" i="25" s="1"/>
  <c r="BC44" i="24"/>
  <c r="AK44" i="25" s="1"/>
  <c r="BC71" i="24"/>
  <c r="BV71" i="24" s="1"/>
  <c r="BD71" i="25" s="1"/>
  <c r="BC98" i="24"/>
  <c r="BV98" i="24" s="1"/>
  <c r="BD98" i="25" s="1"/>
  <c r="BC28" i="24"/>
  <c r="AK28" i="25" s="1"/>
  <c r="BC19" i="24"/>
  <c r="AK19" i="25" s="1"/>
  <c r="BC73" i="24"/>
  <c r="AK73" i="25" s="1"/>
  <c r="BC32" i="24"/>
  <c r="AK32" i="25" s="1"/>
  <c r="BC46" i="24"/>
  <c r="BV46" i="24" s="1"/>
  <c r="BD46" i="25" s="1"/>
  <c r="BC59" i="24"/>
  <c r="BV59" i="24" s="1"/>
  <c r="BD59" i="25" s="1"/>
  <c r="BC72" i="24"/>
  <c r="AK72" i="25" s="1"/>
  <c r="BC86" i="24"/>
  <c r="BC40" i="24"/>
  <c r="BC6" i="24"/>
  <c r="BC115" i="24"/>
  <c r="BV115" i="24" s="1"/>
  <c r="BD115" i="25" s="1"/>
  <c r="BC124" i="24"/>
  <c r="BV124" i="24" s="1"/>
  <c r="BD124" i="25" s="1"/>
  <c r="BC37" i="24"/>
  <c r="AK37" i="25" s="1"/>
  <c r="BC64" i="24"/>
  <c r="AK64" i="25" s="1"/>
  <c r="BC58" i="24"/>
  <c r="AK58" i="25" s="1"/>
  <c r="BC61" i="24"/>
  <c r="AK61" i="25" s="1"/>
  <c r="BC4" i="24"/>
  <c r="AK4" i="25" s="1"/>
  <c r="BC99" i="24"/>
  <c r="AK99" i="25" s="1"/>
  <c r="AU112" i="24"/>
  <c r="AC112" i="25" s="1"/>
  <c r="AU126" i="24"/>
  <c r="AC126" i="25" s="1"/>
  <c r="AU98" i="24"/>
  <c r="AC98" i="25" s="1"/>
  <c r="AU125" i="24"/>
  <c r="AC125" i="25" s="1"/>
  <c r="AU37" i="24"/>
  <c r="AC37" i="25" s="1"/>
  <c r="AU107" i="24"/>
  <c r="BN107" i="24" s="1"/>
  <c r="AV107" i="25" s="1"/>
  <c r="AU70" i="24"/>
  <c r="BN70" i="24" s="1"/>
  <c r="AV70" i="25" s="1"/>
  <c r="AU67" i="24"/>
  <c r="AC67" i="25" s="1"/>
  <c r="AU133" i="24"/>
  <c r="AC133" i="25" s="1"/>
  <c r="AU52" i="24"/>
  <c r="BN52" i="24" s="1"/>
  <c r="AV52" i="25" s="1"/>
  <c r="AU84" i="24"/>
  <c r="AC84" i="25" s="1"/>
  <c r="AU55" i="24"/>
  <c r="AC55" i="25" s="1"/>
  <c r="AU10" i="24"/>
  <c r="BN10" i="24" s="1"/>
  <c r="AV10" i="25" s="1"/>
  <c r="AU111" i="24"/>
  <c r="AC111" i="25" s="1"/>
  <c r="AU17" i="24"/>
  <c r="AC17" i="25" s="1"/>
  <c r="AU51" i="24"/>
  <c r="AC51" i="25" s="1"/>
  <c r="AU128" i="24"/>
  <c r="AC128" i="25" s="1"/>
  <c r="AU91" i="24"/>
  <c r="AU97" i="24"/>
  <c r="AC97" i="25" s="1"/>
  <c r="AU12" i="24"/>
  <c r="AC12" i="25" s="1"/>
  <c r="AU81" i="24"/>
  <c r="AC81" i="25" s="1"/>
  <c r="AU93" i="24"/>
  <c r="AC93" i="25" s="1"/>
  <c r="AU62" i="24"/>
  <c r="AC62" i="25" s="1"/>
  <c r="AU6" i="24"/>
  <c r="BN6" i="24" s="1"/>
  <c r="AV6" i="25" s="1"/>
  <c r="AU22" i="24"/>
  <c r="BN22" i="24" s="1"/>
  <c r="AV22" i="25" s="1"/>
  <c r="AU124" i="24"/>
  <c r="AC124" i="25" s="1"/>
  <c r="AU32" i="24"/>
  <c r="BN32" i="24" s="1"/>
  <c r="AV32" i="25" s="1"/>
  <c r="AU65" i="24"/>
  <c r="AC65" i="25" s="1"/>
  <c r="AU5" i="24"/>
  <c r="AC5" i="25" s="1"/>
  <c r="AU109" i="24"/>
  <c r="BN109" i="24" s="1"/>
  <c r="AV109" i="25" s="1"/>
  <c r="AU123" i="24"/>
  <c r="AC123" i="25" s="1"/>
  <c r="AU41" i="24"/>
  <c r="BN41" i="24" s="1"/>
  <c r="AV41" i="25" s="1"/>
  <c r="AU110" i="24"/>
  <c r="AC110" i="25" s="1"/>
  <c r="AU95" i="24"/>
  <c r="BN95" i="24" s="1"/>
  <c r="AV95" i="25" s="1"/>
  <c r="AU64" i="24"/>
  <c r="AC64" i="25" s="1"/>
  <c r="AU121" i="24"/>
  <c r="AC121" i="25" s="1"/>
  <c r="AU18" i="24"/>
  <c r="AC18" i="25" s="1"/>
  <c r="AU34" i="24"/>
  <c r="AC34" i="25" s="1"/>
  <c r="AU4" i="24"/>
  <c r="AC4" i="25" s="1"/>
  <c r="AU47" i="24"/>
  <c r="AC47" i="25" s="1"/>
  <c r="AU79" i="24"/>
  <c r="BN79" i="24" s="1"/>
  <c r="AV79" i="25" s="1"/>
  <c r="AU26" i="24"/>
  <c r="BN26" i="24" s="1"/>
  <c r="AV26" i="25" s="1"/>
  <c r="AU130" i="24"/>
  <c r="AC130" i="25" s="1"/>
  <c r="AU9" i="24"/>
  <c r="AC9" i="25" s="1"/>
  <c r="AU76" i="24"/>
  <c r="AC76" i="25" s="1"/>
  <c r="AU20" i="24"/>
  <c r="AC20" i="25" s="1"/>
  <c r="AU21" i="24"/>
  <c r="AC21" i="25" s="1"/>
  <c r="AU30" i="24"/>
  <c r="BN30" i="24" s="1"/>
  <c r="AV30" i="25" s="1"/>
  <c r="AU46" i="24"/>
  <c r="BN46" i="24" s="1"/>
  <c r="AV46" i="25" s="1"/>
  <c r="AU16" i="24"/>
  <c r="BN16" i="24" s="1"/>
  <c r="AV16" i="25" s="1"/>
  <c r="AU61" i="24"/>
  <c r="AC61" i="25" s="1"/>
  <c r="AU92" i="24"/>
  <c r="AC92" i="25" s="1"/>
  <c r="AU49" i="24"/>
  <c r="BN49" i="24" s="1"/>
  <c r="AV49" i="25" s="1"/>
  <c r="AU13" i="24"/>
  <c r="AC13" i="25" s="1"/>
  <c r="AU39" i="24"/>
  <c r="BN39" i="24" s="1"/>
  <c r="AV39" i="25" s="1"/>
  <c r="AU104" i="24"/>
  <c r="BN104" i="24" s="1"/>
  <c r="AV104" i="25" s="1"/>
  <c r="AU53" i="24"/>
  <c r="AC53" i="25" s="1"/>
  <c r="AU116" i="24"/>
  <c r="AC116" i="25" s="1"/>
  <c r="AU42" i="24"/>
  <c r="BN42" i="24" s="1"/>
  <c r="AV42" i="25" s="1"/>
  <c r="AU58" i="24"/>
  <c r="AC58" i="25" s="1"/>
  <c r="AU31" i="24"/>
  <c r="AC31" i="25" s="1"/>
  <c r="AU74" i="24"/>
  <c r="AU105" i="24"/>
  <c r="BN105" i="24" s="1"/>
  <c r="AV105" i="25" s="1"/>
  <c r="AU69" i="24"/>
  <c r="AC69" i="25" s="1"/>
  <c r="AU36" i="24"/>
  <c r="AC36" i="25" s="1"/>
  <c r="AU71" i="24"/>
  <c r="AC71" i="25" s="1"/>
  <c r="AU134" i="24"/>
  <c r="AC134" i="25" s="1"/>
  <c r="AU82" i="24"/>
  <c r="AC82" i="25" s="1"/>
  <c r="AU24" i="24"/>
  <c r="AC24" i="25" s="1"/>
  <c r="AU54" i="24"/>
  <c r="BN54" i="24" s="1"/>
  <c r="AV54" i="25" s="1"/>
  <c r="AU15" i="24"/>
  <c r="AC15" i="25" s="1"/>
  <c r="AU45" i="24"/>
  <c r="AC45" i="25" s="1"/>
  <c r="AU87" i="24"/>
  <c r="AC87" i="25" s="1"/>
  <c r="AU118" i="24"/>
  <c r="AC118" i="25" s="1"/>
  <c r="AU89" i="24"/>
  <c r="AC89" i="25" s="1"/>
  <c r="AU56" i="24"/>
  <c r="AC56" i="25" s="1"/>
  <c r="AU101" i="24"/>
  <c r="AC101" i="25" s="1"/>
  <c r="AU14" i="24"/>
  <c r="BN14" i="24" s="1"/>
  <c r="AV14" i="25" s="1"/>
  <c r="AU115" i="24"/>
  <c r="AC115" i="25" s="1"/>
  <c r="AU119" i="24"/>
  <c r="AC119" i="25" s="1"/>
  <c r="AU66" i="24"/>
  <c r="AC66" i="25" s="1"/>
  <c r="AU29" i="24"/>
  <c r="AC29" i="25" s="1"/>
  <c r="AU60" i="24"/>
  <c r="AC60" i="25" s="1"/>
  <c r="AU100" i="24"/>
  <c r="AC100" i="25" s="1"/>
  <c r="AU131" i="24"/>
  <c r="BN131" i="24" s="1"/>
  <c r="AV131" i="25" s="1"/>
  <c r="AU108" i="24"/>
  <c r="AC108" i="25" s="1"/>
  <c r="AU77" i="24"/>
  <c r="AC77" i="25" s="1"/>
  <c r="AU132" i="24"/>
  <c r="AU43" i="24"/>
  <c r="AC43" i="25" s="1"/>
  <c r="AU33" i="24"/>
  <c r="AC33" i="25" s="1"/>
  <c r="AU28" i="24"/>
  <c r="BN28" i="24" s="1"/>
  <c r="AV28" i="25" s="1"/>
  <c r="AU78" i="24"/>
  <c r="BN78" i="24" s="1"/>
  <c r="AV78" i="25" s="1"/>
  <c r="AU44" i="24"/>
  <c r="BN44" i="24" s="1"/>
  <c r="AV44" i="25" s="1"/>
  <c r="AU73" i="24"/>
  <c r="AC73" i="25" s="1"/>
  <c r="AU113" i="24"/>
  <c r="AC113" i="25" s="1"/>
  <c r="AU25" i="24"/>
  <c r="AC25" i="25" s="1"/>
  <c r="AU129" i="24"/>
  <c r="BN129" i="24" s="1"/>
  <c r="AV129" i="25" s="1"/>
  <c r="AU96" i="24"/>
  <c r="BN96" i="24" s="1"/>
  <c r="AV96" i="25" s="1"/>
  <c r="AU11" i="24"/>
  <c r="AC11" i="25" s="1"/>
  <c r="AU80" i="24"/>
  <c r="BN80" i="24" s="1"/>
  <c r="AV80" i="25" s="1"/>
  <c r="AU63" i="24"/>
  <c r="BN63" i="24" s="1"/>
  <c r="AV63" i="25" s="1"/>
  <c r="AU120" i="24"/>
  <c r="BN120" i="24" s="1"/>
  <c r="AV120" i="25" s="1"/>
  <c r="AU72" i="24"/>
  <c r="AC72" i="25" s="1"/>
  <c r="AU8" i="24"/>
  <c r="AC8" i="25" s="1"/>
  <c r="AU27" i="24"/>
  <c r="BN27" i="24" s="1"/>
  <c r="AV27" i="25" s="1"/>
  <c r="AU75" i="24"/>
  <c r="AC75" i="25" s="1"/>
  <c r="AU35" i="24"/>
  <c r="AC35" i="25" s="1"/>
  <c r="AU90" i="24"/>
  <c r="AC90" i="25" s="1"/>
  <c r="AU59" i="24"/>
  <c r="BN59" i="24" s="1"/>
  <c r="AV59" i="25" s="1"/>
  <c r="AU86" i="24"/>
  <c r="AC86" i="25" s="1"/>
  <c r="AU127" i="24"/>
  <c r="AU48" i="24"/>
  <c r="AC48" i="25" s="1"/>
  <c r="AU7" i="24"/>
  <c r="BN7" i="24" s="1"/>
  <c r="AV7" i="25" s="1"/>
  <c r="AU117" i="24"/>
  <c r="AC117" i="25" s="1"/>
  <c r="AU40" i="24"/>
  <c r="AC40" i="25" s="1"/>
  <c r="AU106" i="24"/>
  <c r="AC106" i="25" s="1"/>
  <c r="AU94" i="24"/>
  <c r="AC94" i="25" s="1"/>
  <c r="AU57" i="24"/>
  <c r="BN57" i="24" s="1"/>
  <c r="AV57" i="25" s="1"/>
  <c r="AU102" i="24"/>
  <c r="AC102" i="25" s="1"/>
  <c r="AU99" i="24"/>
  <c r="AC99" i="25" s="1"/>
  <c r="AU68" i="24"/>
  <c r="AC68" i="25" s="1"/>
  <c r="AU135" i="24"/>
  <c r="AU136" i="24"/>
  <c r="AC136" i="25" s="1"/>
  <c r="AZ87" i="24"/>
  <c r="AZ6" i="24"/>
  <c r="AH6" i="25" s="1"/>
  <c r="AZ132" i="24"/>
  <c r="AH132" i="25" s="1"/>
  <c r="AZ91" i="24"/>
  <c r="AH91" i="25" s="1"/>
  <c r="AZ104" i="24"/>
  <c r="AH104" i="25" s="1"/>
  <c r="AZ117" i="24"/>
  <c r="AH117" i="25" s="1"/>
  <c r="AZ74" i="24"/>
  <c r="AZ126" i="24"/>
  <c r="AH126" i="25" s="1"/>
  <c r="AZ53" i="24"/>
  <c r="BS53" i="24" s="1"/>
  <c r="BA53" i="25" s="1"/>
  <c r="AZ39" i="24"/>
  <c r="BS39" i="24" s="1"/>
  <c r="BA39" i="25" s="1"/>
  <c r="AZ106" i="24"/>
  <c r="AH106" i="25" s="1"/>
  <c r="AZ102" i="24"/>
  <c r="AH102" i="25" s="1"/>
  <c r="AZ110" i="24"/>
  <c r="BS110" i="24" s="1"/>
  <c r="BA110" i="25" s="1"/>
  <c r="AZ75" i="24"/>
  <c r="AH75" i="25" s="1"/>
  <c r="AZ41" i="24"/>
  <c r="AZ103" i="24"/>
  <c r="AH103" i="25" s="1"/>
  <c r="AZ116" i="24"/>
  <c r="AH116" i="25" s="1"/>
  <c r="AZ129" i="24"/>
  <c r="AH129" i="25" s="1"/>
  <c r="AZ89" i="24"/>
  <c r="AH89" i="25" s="1"/>
  <c r="AZ16" i="24"/>
  <c r="AH16" i="25" s="1"/>
  <c r="AZ71" i="24"/>
  <c r="AH71" i="25" s="1"/>
  <c r="AZ66" i="24"/>
  <c r="BS66" i="24" s="1"/>
  <c r="BA66" i="25" s="1"/>
  <c r="AZ131" i="24"/>
  <c r="BS131" i="24" s="1"/>
  <c r="BA131" i="25" s="1"/>
  <c r="AZ136" i="24"/>
  <c r="BS136" i="24" s="1"/>
  <c r="BA136" i="25" s="1"/>
  <c r="AZ52" i="24"/>
  <c r="BS52" i="24" s="1"/>
  <c r="BA52" i="25" s="1"/>
  <c r="AZ125" i="24"/>
  <c r="BS125" i="24" s="1"/>
  <c r="BA125" i="25" s="1"/>
  <c r="AZ115" i="24"/>
  <c r="AH115" i="25" s="1"/>
  <c r="AZ128" i="24"/>
  <c r="BS128" i="24" s="1"/>
  <c r="BA128" i="25" s="1"/>
  <c r="AZ10" i="24"/>
  <c r="AH10" i="25" s="1"/>
  <c r="AZ107" i="24"/>
  <c r="AH107" i="25" s="1"/>
  <c r="AZ34" i="24"/>
  <c r="AH34" i="25" s="1"/>
  <c r="AZ86" i="24"/>
  <c r="AH86" i="25" s="1"/>
  <c r="AZ95" i="24"/>
  <c r="BS95" i="24" s="1"/>
  <c r="BA95" i="25" s="1"/>
  <c r="AZ17" i="24"/>
  <c r="AH17" i="25" s="1"/>
  <c r="AZ35" i="24"/>
  <c r="AZ114" i="24"/>
  <c r="AZ29" i="24"/>
  <c r="AZ127" i="24"/>
  <c r="AH127" i="25" s="1"/>
  <c r="AZ9" i="24"/>
  <c r="AH9" i="25" s="1"/>
  <c r="AZ25" i="24"/>
  <c r="BS25" i="24" s="1"/>
  <c r="BA25" i="25" s="1"/>
  <c r="AZ122" i="24"/>
  <c r="BS122" i="24" s="1"/>
  <c r="BA122" i="25" s="1"/>
  <c r="AZ49" i="24"/>
  <c r="BS49" i="24" s="1"/>
  <c r="BA49" i="25" s="1"/>
  <c r="AZ101" i="24"/>
  <c r="AH101" i="25" s="1"/>
  <c r="AZ120" i="24"/>
  <c r="BS120" i="24" s="1"/>
  <c r="BA120" i="25" s="1"/>
  <c r="AZ54" i="24"/>
  <c r="AH54" i="25" s="1"/>
  <c r="AZ76" i="24"/>
  <c r="AH76" i="25" s="1"/>
  <c r="AZ62" i="24"/>
  <c r="AZ8" i="24"/>
  <c r="BS8" i="24" s="1"/>
  <c r="BA8" i="25" s="1"/>
  <c r="AZ21" i="24"/>
  <c r="BS21" i="24" s="1"/>
  <c r="BA21" i="25" s="1"/>
  <c r="AZ40" i="24"/>
  <c r="AH40" i="25" s="1"/>
  <c r="AZ4" i="24"/>
  <c r="BS4" i="24" s="1"/>
  <c r="BA4" i="25" s="1"/>
  <c r="AZ64" i="24"/>
  <c r="BS64" i="24" s="1"/>
  <c r="BA64" i="25" s="1"/>
  <c r="AZ119" i="24"/>
  <c r="BS119" i="24" s="1"/>
  <c r="BA119" i="25" s="1"/>
  <c r="AZ14" i="24"/>
  <c r="AH14" i="25" s="1"/>
  <c r="AZ99" i="24"/>
  <c r="AH99" i="25" s="1"/>
  <c r="AZ113" i="24"/>
  <c r="AH113" i="25" s="1"/>
  <c r="AZ123" i="24"/>
  <c r="AH123" i="25" s="1"/>
  <c r="AZ83" i="24"/>
  <c r="AH83" i="25" s="1"/>
  <c r="AZ67" i="24"/>
  <c r="AZ7" i="24"/>
  <c r="BS7" i="24" s="1"/>
  <c r="BA7" i="25" s="1"/>
  <c r="AZ20" i="24"/>
  <c r="BS20" i="24" s="1"/>
  <c r="BA20" i="25" s="1"/>
  <c r="AZ33" i="24"/>
  <c r="AH33" i="25" s="1"/>
  <c r="AZ58" i="24"/>
  <c r="AH58" i="25" s="1"/>
  <c r="AZ15" i="24"/>
  <c r="AH15" i="25" s="1"/>
  <c r="AZ82" i="24"/>
  <c r="AH82" i="25" s="1"/>
  <c r="AZ134" i="24"/>
  <c r="AH134" i="25" s="1"/>
  <c r="AZ42" i="24"/>
  <c r="BS42" i="24" s="1"/>
  <c r="BA42" i="25" s="1"/>
  <c r="AZ133" i="24"/>
  <c r="AH133" i="25" s="1"/>
  <c r="AZ36" i="24"/>
  <c r="BS36" i="24" s="1"/>
  <c r="BA36" i="25" s="1"/>
  <c r="AZ72" i="24"/>
  <c r="BS72" i="24" s="1"/>
  <c r="BA72" i="25" s="1"/>
  <c r="AZ84" i="24"/>
  <c r="AH84" i="25" s="1"/>
  <c r="AZ19" i="24"/>
  <c r="AH19" i="25" s="1"/>
  <c r="AZ32" i="24"/>
  <c r="AZ45" i="24"/>
  <c r="BS45" i="24" s="1"/>
  <c r="BA45" i="25" s="1"/>
  <c r="AZ73" i="24"/>
  <c r="AH73" i="25" s="1"/>
  <c r="AZ30" i="24"/>
  <c r="AH30" i="25" s="1"/>
  <c r="AZ97" i="24"/>
  <c r="AH97" i="25" s="1"/>
  <c r="AZ12" i="24"/>
  <c r="AH12" i="25" s="1"/>
  <c r="AZ70" i="24"/>
  <c r="AH70" i="25" s="1"/>
  <c r="AZ18" i="24"/>
  <c r="AH18" i="25" s="1"/>
  <c r="AZ90" i="24"/>
  <c r="AH90" i="25" s="1"/>
  <c r="AZ124" i="24"/>
  <c r="AH124" i="25" s="1"/>
  <c r="AZ31" i="24"/>
  <c r="AH31" i="25" s="1"/>
  <c r="AZ44" i="24"/>
  <c r="BS44" i="24" s="1"/>
  <c r="BA44" i="25" s="1"/>
  <c r="AZ57" i="24"/>
  <c r="BS57" i="24" s="1"/>
  <c r="BA57" i="25" s="1"/>
  <c r="AZ88" i="24"/>
  <c r="AH88" i="25" s="1"/>
  <c r="AZ48" i="24"/>
  <c r="AH48" i="25" s="1"/>
  <c r="AZ112" i="24"/>
  <c r="BS112" i="24" s="1"/>
  <c r="BA112" i="25" s="1"/>
  <c r="AZ37" i="24"/>
  <c r="AH37" i="25" s="1"/>
  <c r="AZ98" i="24"/>
  <c r="AH98" i="25" s="1"/>
  <c r="AZ60" i="24"/>
  <c r="AH60" i="25" s="1"/>
  <c r="AZ46" i="24"/>
  <c r="AH46" i="25" s="1"/>
  <c r="AZ28" i="24"/>
  <c r="AH28" i="25" s="1"/>
  <c r="AZ43" i="24"/>
  <c r="AH43" i="25" s="1"/>
  <c r="AZ56" i="24"/>
  <c r="AZ69" i="24"/>
  <c r="AH69" i="25" s="1"/>
  <c r="AZ11" i="24"/>
  <c r="AH11" i="25" s="1"/>
  <c r="AZ63" i="24"/>
  <c r="AH63" i="25" s="1"/>
  <c r="AZ130" i="24"/>
  <c r="AH130" i="25" s="1"/>
  <c r="AZ65" i="24"/>
  <c r="AH65" i="25" s="1"/>
  <c r="AZ121" i="24"/>
  <c r="AH121" i="25" s="1"/>
  <c r="AZ100" i="24"/>
  <c r="AH100" i="25" s="1"/>
  <c r="AZ108" i="24"/>
  <c r="BS108" i="24" s="1"/>
  <c r="BA108" i="25" s="1"/>
  <c r="AZ85" i="24"/>
  <c r="AH85" i="25" s="1"/>
  <c r="AZ27" i="24"/>
  <c r="AH27" i="25" s="1"/>
  <c r="AZ93" i="24"/>
  <c r="AH93" i="25" s="1"/>
  <c r="AZ23" i="24"/>
  <c r="AH23" i="25" s="1"/>
  <c r="AZ51" i="24"/>
  <c r="AZ109" i="24"/>
  <c r="BS109" i="24" s="1"/>
  <c r="BA109" i="25" s="1"/>
  <c r="AZ55" i="24"/>
  <c r="AH55" i="25" s="1"/>
  <c r="AZ68" i="24"/>
  <c r="AH68" i="25" s="1"/>
  <c r="AZ81" i="24"/>
  <c r="AZ26" i="24"/>
  <c r="BS26" i="24" s="1"/>
  <c r="BA26" i="25" s="1"/>
  <c r="AZ78" i="24"/>
  <c r="AH78" i="25" s="1"/>
  <c r="AZ5" i="24"/>
  <c r="AH5" i="25" s="1"/>
  <c r="AZ94" i="24"/>
  <c r="AH94" i="25" s="1"/>
  <c r="AZ24" i="24"/>
  <c r="AH24" i="25" s="1"/>
  <c r="AZ135" i="24"/>
  <c r="BS135" i="24" s="1"/>
  <c r="BA135" i="25" s="1"/>
  <c r="AZ47" i="24"/>
  <c r="AZ80" i="24"/>
  <c r="AZ96" i="24"/>
  <c r="AZ118" i="24"/>
  <c r="AH118" i="25" s="1"/>
  <c r="AZ22" i="24"/>
  <c r="BS22" i="24" s="1"/>
  <c r="BA22" i="25" s="1"/>
  <c r="BD8" i="24"/>
  <c r="BW8" i="24" s="1"/>
  <c r="BE8" i="25" s="1"/>
  <c r="BD129" i="24"/>
  <c r="BD12" i="24"/>
  <c r="BW12" i="24" s="1"/>
  <c r="BE12" i="25" s="1"/>
  <c r="BD25" i="24"/>
  <c r="BW25" i="24" s="1"/>
  <c r="BE25" i="25" s="1"/>
  <c r="BD39" i="24"/>
  <c r="BW39" i="24" s="1"/>
  <c r="BE39" i="25" s="1"/>
  <c r="BD88" i="24"/>
  <c r="BW88" i="24" s="1"/>
  <c r="BE88" i="25" s="1"/>
  <c r="BD98" i="24"/>
  <c r="BW98" i="24" s="1"/>
  <c r="BE98" i="25" s="1"/>
  <c r="BD16" i="24"/>
  <c r="BW16" i="24" s="1"/>
  <c r="BE16" i="25" s="1"/>
  <c r="BD115" i="24"/>
  <c r="BD122" i="24"/>
  <c r="BD134" i="24"/>
  <c r="BW134" i="24" s="1"/>
  <c r="BE134" i="25" s="1"/>
  <c r="BD5" i="24"/>
  <c r="BW5" i="24" s="1"/>
  <c r="BE5" i="25" s="1"/>
  <c r="BD20" i="24"/>
  <c r="BW20" i="24" s="1"/>
  <c r="BE20" i="25" s="1"/>
  <c r="BD11" i="24"/>
  <c r="BW11" i="24" s="1"/>
  <c r="BE11" i="25" s="1"/>
  <c r="BD24" i="24"/>
  <c r="BW24" i="24" s="1"/>
  <c r="BE24" i="25" s="1"/>
  <c r="BD37" i="24"/>
  <c r="BW37" i="24" s="1"/>
  <c r="BE37" i="25" s="1"/>
  <c r="BD51" i="24"/>
  <c r="BW51" i="24" s="1"/>
  <c r="BE51" i="25" s="1"/>
  <c r="BD110" i="24"/>
  <c r="BW110" i="24" s="1"/>
  <c r="BE110" i="25" s="1"/>
  <c r="BD116" i="24"/>
  <c r="BW116" i="24" s="1"/>
  <c r="BE116" i="25" s="1"/>
  <c r="BD62" i="24"/>
  <c r="BD53" i="24"/>
  <c r="BD54" i="24"/>
  <c r="BD136" i="24"/>
  <c r="BW136" i="24" s="1"/>
  <c r="BE136" i="25" s="1"/>
  <c r="BD17" i="24"/>
  <c r="BW17" i="24" s="1"/>
  <c r="BE17" i="25" s="1"/>
  <c r="BD9" i="24"/>
  <c r="BW9" i="24" s="1"/>
  <c r="BE9" i="25" s="1"/>
  <c r="BD23" i="24"/>
  <c r="BW23" i="24" s="1"/>
  <c r="BE23" i="25" s="1"/>
  <c r="BD36" i="24"/>
  <c r="BW36" i="24" s="1"/>
  <c r="BE36" i="25" s="1"/>
  <c r="BD49" i="24"/>
  <c r="BW49" i="24" s="1"/>
  <c r="BE49" i="25" s="1"/>
  <c r="BD63" i="24"/>
  <c r="BW63" i="24" s="1"/>
  <c r="BE63" i="25" s="1"/>
  <c r="BD128" i="24"/>
  <c r="BW128" i="24" s="1"/>
  <c r="BE128" i="25" s="1"/>
  <c r="BD26" i="24"/>
  <c r="BW26" i="24" s="1"/>
  <c r="BE26" i="25" s="1"/>
  <c r="BD102" i="24"/>
  <c r="BW102" i="24" s="1"/>
  <c r="BE102" i="25" s="1"/>
  <c r="BD92" i="24"/>
  <c r="BD124" i="24"/>
  <c r="BW124" i="24" s="1"/>
  <c r="BE124" i="25" s="1"/>
  <c r="BD29" i="24"/>
  <c r="BW29" i="24" s="1"/>
  <c r="BE29" i="25" s="1"/>
  <c r="BD21" i="24"/>
  <c r="BD35" i="24"/>
  <c r="BW35" i="24" s="1"/>
  <c r="BE35" i="25" s="1"/>
  <c r="BD48" i="24"/>
  <c r="BW48" i="24" s="1"/>
  <c r="BE48" i="25" s="1"/>
  <c r="BD61" i="24"/>
  <c r="BW61" i="24" s="1"/>
  <c r="BE61" i="25" s="1"/>
  <c r="BD75" i="24"/>
  <c r="BW75" i="24" s="1"/>
  <c r="BE75" i="25" s="1"/>
  <c r="BD10" i="24"/>
  <c r="BW10" i="24" s="1"/>
  <c r="BE10" i="25" s="1"/>
  <c r="BD52" i="24"/>
  <c r="BW52" i="24" s="1"/>
  <c r="BE52" i="25" s="1"/>
  <c r="BD4" i="24"/>
  <c r="BW4" i="24" s="1"/>
  <c r="BE4" i="25" s="1"/>
  <c r="BD127" i="24"/>
  <c r="BW127" i="24" s="1"/>
  <c r="BE127" i="25" s="1"/>
  <c r="BD80" i="24"/>
  <c r="BD7" i="24"/>
  <c r="BW7" i="24" s="1"/>
  <c r="BE7" i="25" s="1"/>
  <c r="BD33" i="24"/>
  <c r="BW33" i="24" s="1"/>
  <c r="BE33" i="25" s="1"/>
  <c r="BD47" i="24"/>
  <c r="BD60" i="24"/>
  <c r="BW60" i="24" s="1"/>
  <c r="BE60" i="25" s="1"/>
  <c r="BD73" i="24"/>
  <c r="BW73" i="24" s="1"/>
  <c r="BE73" i="25" s="1"/>
  <c r="BD87" i="24"/>
  <c r="BW87" i="24" s="1"/>
  <c r="BE87" i="25" s="1"/>
  <c r="BD41" i="24"/>
  <c r="BW41" i="24" s="1"/>
  <c r="BE41" i="25" s="1"/>
  <c r="BD76" i="24"/>
  <c r="BW76" i="24" s="1"/>
  <c r="BE76" i="25" s="1"/>
  <c r="BD30" i="24"/>
  <c r="BW30" i="24" s="1"/>
  <c r="BE30" i="25" s="1"/>
  <c r="BD14" i="24"/>
  <c r="BW14" i="24" s="1"/>
  <c r="BE14" i="25" s="1"/>
  <c r="BD42" i="24"/>
  <c r="BW42" i="24" s="1"/>
  <c r="BE42" i="25" s="1"/>
  <c r="BD19" i="24"/>
  <c r="BD45" i="24"/>
  <c r="BW45" i="24" s="1"/>
  <c r="BE45" i="25" s="1"/>
  <c r="BD59" i="24"/>
  <c r="BW59" i="24" s="1"/>
  <c r="BE59" i="25" s="1"/>
  <c r="BD72" i="24"/>
  <c r="BW72" i="24" s="1"/>
  <c r="BE72" i="25" s="1"/>
  <c r="BD85" i="24"/>
  <c r="BW85" i="24" s="1"/>
  <c r="BE85" i="25" s="1"/>
  <c r="BD99" i="24"/>
  <c r="BW99" i="24" s="1"/>
  <c r="BE99" i="25" s="1"/>
  <c r="BD65" i="24"/>
  <c r="BW65" i="24" s="1"/>
  <c r="BE65" i="25" s="1"/>
  <c r="BD100" i="24"/>
  <c r="BW100" i="24" s="1"/>
  <c r="BE100" i="25" s="1"/>
  <c r="BD70" i="24"/>
  <c r="BW70" i="24" s="1"/>
  <c r="BE70" i="25" s="1"/>
  <c r="BD90" i="24"/>
  <c r="BW90" i="24" s="1"/>
  <c r="BE90" i="25" s="1"/>
  <c r="BD56" i="24"/>
  <c r="BW56" i="24" s="1"/>
  <c r="BE56" i="25" s="1"/>
  <c r="BD31" i="24"/>
  <c r="BW31" i="24" s="1"/>
  <c r="BE31" i="25" s="1"/>
  <c r="BD57" i="24"/>
  <c r="BD71" i="24"/>
  <c r="BW71" i="24" s="1"/>
  <c r="BE71" i="25" s="1"/>
  <c r="BD84" i="24"/>
  <c r="BW84" i="24" s="1"/>
  <c r="BE84" i="25" s="1"/>
  <c r="BD97" i="24"/>
  <c r="BD111" i="24"/>
  <c r="BW111" i="24" s="1"/>
  <c r="BE111" i="25" s="1"/>
  <c r="BD89" i="24"/>
  <c r="BW89" i="24" s="1"/>
  <c r="BE89" i="25" s="1"/>
  <c r="BD118" i="24"/>
  <c r="BW118" i="24" s="1"/>
  <c r="BE118" i="25" s="1"/>
  <c r="BD113" i="24"/>
  <c r="BW113" i="24" s="1"/>
  <c r="BE113" i="25" s="1"/>
  <c r="BD18" i="24"/>
  <c r="BW18" i="24" s="1"/>
  <c r="BE18" i="25" s="1"/>
  <c r="BD66" i="24"/>
  <c r="BW66" i="24" s="1"/>
  <c r="BE66" i="25" s="1"/>
  <c r="BD43" i="24"/>
  <c r="BW43" i="24" s="1"/>
  <c r="BE43" i="25" s="1"/>
  <c r="BD69" i="24"/>
  <c r="BW69" i="24" s="1"/>
  <c r="BE69" i="25" s="1"/>
  <c r="BD83" i="24"/>
  <c r="BW83" i="24" s="1"/>
  <c r="BE83" i="25" s="1"/>
  <c r="BD96" i="24"/>
  <c r="BW96" i="24" s="1"/>
  <c r="BE96" i="25" s="1"/>
  <c r="BD109" i="24"/>
  <c r="BW109" i="24" s="1"/>
  <c r="BE109" i="25" s="1"/>
  <c r="BD123" i="24"/>
  <c r="BW123" i="24" s="1"/>
  <c r="BE123" i="25" s="1"/>
  <c r="BD112" i="24"/>
  <c r="BW112" i="24" s="1"/>
  <c r="BE112" i="25" s="1"/>
  <c r="BD34" i="24"/>
  <c r="BW34" i="24" s="1"/>
  <c r="BE34" i="25" s="1"/>
  <c r="BD32" i="24"/>
  <c r="BW32" i="24" s="1"/>
  <c r="BE32" i="25" s="1"/>
  <c r="BD94" i="24"/>
  <c r="BW94" i="24" s="1"/>
  <c r="BE94" i="25" s="1"/>
  <c r="BD68" i="24"/>
  <c r="BW68" i="24" s="1"/>
  <c r="BE68" i="25" s="1"/>
  <c r="BD119" i="24"/>
  <c r="BW119" i="24" s="1"/>
  <c r="BE119" i="25" s="1"/>
  <c r="BD131" i="24"/>
  <c r="BW131" i="24" s="1"/>
  <c r="BE131" i="25" s="1"/>
  <c r="BD55" i="24"/>
  <c r="BD81" i="24"/>
  <c r="BD95" i="24"/>
  <c r="BW95" i="24" s="1"/>
  <c r="BE95" i="25" s="1"/>
  <c r="BD108" i="24"/>
  <c r="BW108" i="24" s="1"/>
  <c r="BE108" i="25" s="1"/>
  <c r="BD121" i="24"/>
  <c r="BW121" i="24" s="1"/>
  <c r="BE121" i="25" s="1"/>
  <c r="BD135" i="24"/>
  <c r="BW135" i="24" s="1"/>
  <c r="BE135" i="25" s="1"/>
  <c r="BD130" i="24"/>
  <c r="BW130" i="24" s="1"/>
  <c r="BE130" i="25" s="1"/>
  <c r="BD58" i="24"/>
  <c r="BW58" i="24" s="1"/>
  <c r="BE58" i="25" s="1"/>
  <c r="BD77" i="24"/>
  <c r="BW77" i="24" s="1"/>
  <c r="BE77" i="25" s="1"/>
  <c r="BD28" i="24"/>
  <c r="BW28" i="24" s="1"/>
  <c r="BE28" i="25" s="1"/>
  <c r="BD86" i="24"/>
  <c r="BW86" i="24" s="1"/>
  <c r="BE86" i="25" s="1"/>
  <c r="BD132" i="24"/>
  <c r="BW132" i="24" s="1"/>
  <c r="BE132" i="25" s="1"/>
  <c r="BD50" i="24"/>
  <c r="BW50" i="24" s="1"/>
  <c r="BE50" i="25" s="1"/>
  <c r="BD38" i="24"/>
  <c r="BD103" i="24"/>
  <c r="BD117" i="24"/>
  <c r="BW117" i="24" s="1"/>
  <c r="BE117" i="25" s="1"/>
  <c r="BD27" i="24"/>
  <c r="BW27" i="24" s="1"/>
  <c r="BE27" i="25" s="1"/>
  <c r="BD74" i="24"/>
  <c r="BW74" i="24" s="1"/>
  <c r="BE74" i="25" s="1"/>
  <c r="BD67" i="24"/>
  <c r="BW67" i="24" s="1"/>
  <c r="BE67" i="25" s="1"/>
  <c r="BD93" i="24"/>
  <c r="BW93" i="24" s="1"/>
  <c r="BE93" i="25" s="1"/>
  <c r="BD107" i="24"/>
  <c r="BW107" i="24" s="1"/>
  <c r="BE107" i="25" s="1"/>
  <c r="BD120" i="24"/>
  <c r="BW120" i="24" s="1"/>
  <c r="BE120" i="25" s="1"/>
  <c r="BD133" i="24"/>
  <c r="BW133" i="24" s="1"/>
  <c r="BE133" i="25" s="1"/>
  <c r="BD6" i="24"/>
  <c r="BW6" i="24" s="1"/>
  <c r="BE6" i="25" s="1"/>
  <c r="BD22" i="24"/>
  <c r="BW22" i="24" s="1"/>
  <c r="BE22" i="25" s="1"/>
  <c r="BD82" i="24"/>
  <c r="BW82" i="24" s="1"/>
  <c r="BE82" i="25" s="1"/>
  <c r="BD114" i="24"/>
  <c r="BW114" i="24" s="1"/>
  <c r="BE114" i="25" s="1"/>
  <c r="BD44" i="24"/>
  <c r="BW44" i="24" s="1"/>
  <c r="BE44" i="25" s="1"/>
  <c r="BD101" i="24"/>
  <c r="BW101" i="24" s="1"/>
  <c r="BE101" i="25" s="1"/>
  <c r="BD79" i="24"/>
  <c r="BW79" i="24" s="1"/>
  <c r="BE79" i="25" s="1"/>
  <c r="BD105" i="24"/>
  <c r="BW105" i="24" s="1"/>
  <c r="BE105" i="25" s="1"/>
  <c r="BD15" i="24"/>
  <c r="BW15" i="24" s="1"/>
  <c r="BE15" i="25" s="1"/>
  <c r="BD40" i="24"/>
  <c r="BW40" i="24" s="1"/>
  <c r="BE40" i="25" s="1"/>
  <c r="BD104" i="24"/>
  <c r="BW104" i="24" s="1"/>
  <c r="BE104" i="25" s="1"/>
  <c r="BD106" i="24"/>
  <c r="BW106" i="24" s="1"/>
  <c r="BE106" i="25" s="1"/>
  <c r="BD91" i="24"/>
  <c r="BW91" i="24" s="1"/>
  <c r="BE91" i="25" s="1"/>
  <c r="BD13" i="24"/>
  <c r="BW13" i="24" s="1"/>
  <c r="BE13" i="25" s="1"/>
  <c r="BD64" i="24"/>
  <c r="BD126" i="24"/>
  <c r="BW126" i="24" s="1"/>
  <c r="BE126" i="25" s="1"/>
  <c r="M18" i="24"/>
  <c r="M93" i="24" s="1"/>
  <c r="G22" i="23"/>
  <c r="G32" i="23"/>
  <c r="K32" i="36"/>
  <c r="K34" i="36"/>
  <c r="K31" i="36"/>
  <c r="K21" i="36"/>
  <c r="K26" i="36"/>
  <c r="K24" i="36"/>
  <c r="K30" i="36"/>
  <c r="CB4" i="24"/>
  <c r="N9" i="24"/>
  <c r="AR38" i="24"/>
  <c r="BK38" i="24" s="1"/>
  <c r="AS38" i="25" s="1"/>
  <c r="G18" i="23"/>
  <c r="K29" i="36"/>
  <c r="K19" i="36"/>
  <c r="K25" i="36"/>
  <c r="K17" i="36"/>
  <c r="G31" i="23"/>
  <c r="K18" i="36"/>
  <c r="K33" i="36"/>
  <c r="K27" i="36"/>
  <c r="G21" i="23"/>
  <c r="K22" i="36"/>
  <c r="K20" i="36"/>
  <c r="G20" i="23"/>
  <c r="K28" i="36"/>
  <c r="AR50" i="24"/>
  <c r="BK50" i="24" s="1"/>
  <c r="AS50" i="25" s="1"/>
  <c r="AR111" i="24"/>
  <c r="Z111" i="25" s="1"/>
  <c r="AR59" i="24"/>
  <c r="Z59" i="25" s="1"/>
  <c r="AR116" i="24"/>
  <c r="Z116" i="25" s="1"/>
  <c r="AR33" i="24"/>
  <c r="Z33" i="25" s="1"/>
  <c r="AR56" i="24"/>
  <c r="Z56" i="25" s="1"/>
  <c r="AR62" i="24"/>
  <c r="Z62" i="25" s="1"/>
  <c r="AR106" i="24"/>
  <c r="BK106" i="24" s="1"/>
  <c r="AS106" i="25" s="1"/>
  <c r="AR81" i="24"/>
  <c r="Z81" i="25" s="1"/>
  <c r="AR58" i="24"/>
  <c r="Z58" i="25" s="1"/>
  <c r="AR98" i="24"/>
  <c r="Z98" i="25" s="1"/>
  <c r="AR66" i="24"/>
  <c r="Z66" i="25" s="1"/>
  <c r="AR131" i="24"/>
  <c r="Z131" i="25" s="1"/>
  <c r="AR119" i="24"/>
  <c r="Z119" i="25" s="1"/>
  <c r="AR107" i="24"/>
  <c r="Z107" i="25" s="1"/>
  <c r="AR109" i="24"/>
  <c r="BK109" i="24" s="1"/>
  <c r="AS109" i="25" s="1"/>
  <c r="AR97" i="24"/>
  <c r="Z97" i="25" s="1"/>
  <c r="AR92" i="24"/>
  <c r="BK92" i="24" s="1"/>
  <c r="AS92" i="25" s="1"/>
  <c r="AR12" i="24"/>
  <c r="Z12" i="25" s="1"/>
  <c r="AR94" i="24"/>
  <c r="Z94" i="25" s="1"/>
  <c r="AR80" i="24"/>
  <c r="BK80" i="24" s="1"/>
  <c r="AS80" i="25" s="1"/>
  <c r="AR28" i="24"/>
  <c r="BK28" i="24" s="1"/>
  <c r="AS28" i="25" s="1"/>
  <c r="AR78" i="24"/>
  <c r="Z78" i="25" s="1"/>
  <c r="AS71" i="24"/>
  <c r="BL71" i="24" s="1"/>
  <c r="AT71" i="25" s="1"/>
  <c r="AR76" i="24"/>
  <c r="Z76" i="25" s="1"/>
  <c r="AR96" i="24"/>
  <c r="Z96" i="25" s="1"/>
  <c r="AR130" i="24"/>
  <c r="Z130" i="25" s="1"/>
  <c r="AR87" i="24"/>
  <c r="Z87" i="25" s="1"/>
  <c r="AR64" i="24"/>
  <c r="BK64" i="24" s="1"/>
  <c r="AS64" i="25" s="1"/>
  <c r="AR128" i="24"/>
  <c r="Z128" i="25" s="1"/>
  <c r="AR123" i="24"/>
  <c r="Z123" i="25" s="1"/>
  <c r="AR68" i="24"/>
  <c r="Z68" i="25" s="1"/>
  <c r="AR48" i="24"/>
  <c r="Z48" i="25" s="1"/>
  <c r="AR13" i="24"/>
  <c r="Z13" i="25" s="1"/>
  <c r="AR79" i="24"/>
  <c r="Z79" i="25" s="1"/>
  <c r="AR104" i="24"/>
  <c r="BK104" i="24" s="1"/>
  <c r="AS104" i="25" s="1"/>
  <c r="AR61" i="24"/>
  <c r="Z61" i="25" s="1"/>
  <c r="AR103" i="24"/>
  <c r="Z103" i="25" s="1"/>
  <c r="AR91" i="24"/>
  <c r="BK91" i="24" s="1"/>
  <c r="AS91" i="25" s="1"/>
  <c r="AR85" i="24"/>
  <c r="Z85" i="25" s="1"/>
  <c r="AR47" i="24"/>
  <c r="Z47" i="25" s="1"/>
  <c r="AS131" i="24"/>
  <c r="AA131" i="25" s="1"/>
  <c r="AS21" i="24"/>
  <c r="BL21" i="24" s="1"/>
  <c r="AT21" i="25" s="1"/>
  <c r="AS54" i="24"/>
  <c r="BL54" i="24" s="1"/>
  <c r="AT54" i="25" s="1"/>
  <c r="AS38" i="24"/>
  <c r="AA38" i="25" s="1"/>
  <c r="AS80" i="24"/>
  <c r="AA80" i="25" s="1"/>
  <c r="AS6" i="24"/>
  <c r="AA6" i="25" s="1"/>
  <c r="AS135" i="24"/>
  <c r="AA135" i="25" s="1"/>
  <c r="AS123" i="24"/>
  <c r="BL123" i="24" s="1"/>
  <c r="AT123" i="25" s="1"/>
  <c r="AS119" i="24"/>
  <c r="AA119" i="25" s="1"/>
  <c r="AS11" i="24"/>
  <c r="AA11" i="25" s="1"/>
  <c r="AS92" i="24"/>
  <c r="AA92" i="25" s="1"/>
  <c r="G17" i="23"/>
  <c r="N78" i="25"/>
  <c r="N83" i="25"/>
  <c r="CB43" i="24"/>
  <c r="G15" i="23"/>
  <c r="H15" i="23" s="1"/>
  <c r="G16" i="23"/>
  <c r="N107" i="25"/>
  <c r="N28" i="25"/>
  <c r="W95" i="25"/>
  <c r="BH95" i="24"/>
  <c r="AP95" i="25" s="1"/>
  <c r="W100" i="25"/>
  <c r="BH100" i="24"/>
  <c r="AP100" i="25" s="1"/>
  <c r="W122" i="25"/>
  <c r="BH122" i="24"/>
  <c r="AP122" i="25" s="1"/>
  <c r="W55" i="25"/>
  <c r="BH55" i="24"/>
  <c r="AP55" i="25" s="1"/>
  <c r="W20" i="25"/>
  <c r="BH20" i="24"/>
  <c r="AP20" i="25" s="1"/>
  <c r="W85" i="25"/>
  <c r="BH85" i="24"/>
  <c r="AP85" i="25" s="1"/>
  <c r="W47" i="25"/>
  <c r="BH47" i="24"/>
  <c r="AP47" i="25" s="1"/>
  <c r="W118" i="25"/>
  <c r="BH118" i="24"/>
  <c r="AP118" i="25" s="1"/>
  <c r="W103" i="25"/>
  <c r="BH103" i="24"/>
  <c r="AP103" i="25" s="1"/>
  <c r="W49" i="25"/>
  <c r="BH49" i="24"/>
  <c r="AP49" i="25" s="1"/>
  <c r="W123" i="25"/>
  <c r="BH123" i="24"/>
  <c r="AP123" i="25" s="1"/>
  <c r="W73" i="25"/>
  <c r="BH73" i="24"/>
  <c r="AP73" i="25" s="1"/>
  <c r="W5" i="25"/>
  <c r="BH5" i="24"/>
  <c r="AP5" i="25" s="1"/>
  <c r="W124" i="25"/>
  <c r="BH124" i="24"/>
  <c r="AP124" i="25" s="1"/>
  <c r="W92" i="25"/>
  <c r="BH92" i="24"/>
  <c r="AP92" i="25" s="1"/>
  <c r="W59" i="25"/>
  <c r="BH59" i="24"/>
  <c r="AP59" i="25" s="1"/>
  <c r="W31" i="25"/>
  <c r="BH31" i="24"/>
  <c r="AP31" i="25" s="1"/>
  <c r="W43" i="25"/>
  <c r="BH43" i="24"/>
  <c r="AP43" i="25" s="1"/>
  <c r="AH61" i="25"/>
  <c r="BS61" i="24"/>
  <c r="BA61" i="25" s="1"/>
  <c r="W126" i="25"/>
  <c r="BH126" i="24"/>
  <c r="AP126" i="25" s="1"/>
  <c r="W51" i="25"/>
  <c r="BH51" i="24"/>
  <c r="AP51" i="25" s="1"/>
  <c r="W38" i="25"/>
  <c r="BH38" i="24"/>
  <c r="AP38" i="25" s="1"/>
  <c r="W90" i="25"/>
  <c r="BH90" i="24"/>
  <c r="AP90" i="25" s="1"/>
  <c r="W130" i="25"/>
  <c r="BH130" i="24"/>
  <c r="AP130" i="25" s="1"/>
  <c r="CB50" i="24"/>
  <c r="M5" i="24"/>
  <c r="W86" i="25"/>
  <c r="BH86" i="24"/>
  <c r="AP86" i="25" s="1"/>
  <c r="W34" i="25"/>
  <c r="BH34" i="24"/>
  <c r="AP34" i="25" s="1"/>
  <c r="W109" i="25"/>
  <c r="BH109" i="24"/>
  <c r="AP109" i="25" s="1"/>
  <c r="W58" i="25"/>
  <c r="BH58" i="24"/>
  <c r="AP58" i="25" s="1"/>
  <c r="W125" i="25"/>
  <c r="BH125" i="24"/>
  <c r="AP125" i="25" s="1"/>
  <c r="W112" i="25"/>
  <c r="BH112" i="24"/>
  <c r="AP112" i="25" s="1"/>
  <c r="W135" i="25"/>
  <c r="BH135" i="24"/>
  <c r="AP135" i="25" s="1"/>
  <c r="W106" i="25"/>
  <c r="BH106" i="24"/>
  <c r="AP106" i="25" s="1"/>
  <c r="W79" i="25"/>
  <c r="BH79" i="24"/>
  <c r="AP79" i="25" s="1"/>
  <c r="W26" i="25"/>
  <c r="BH26" i="24"/>
  <c r="AP26" i="25" s="1"/>
  <c r="W71" i="25"/>
  <c r="BH71" i="24"/>
  <c r="AP71" i="25" s="1"/>
  <c r="W56" i="25"/>
  <c r="BH56" i="24"/>
  <c r="AP56" i="25" s="1"/>
  <c r="W83" i="25"/>
  <c r="BH83" i="24"/>
  <c r="AP83" i="25" s="1"/>
  <c r="W13" i="25"/>
  <c r="BH13" i="24"/>
  <c r="AP13" i="25" s="1"/>
  <c r="W60" i="25"/>
  <c r="BH60" i="24"/>
  <c r="AP60" i="25" s="1"/>
  <c r="CB61" i="24"/>
  <c r="W132" i="25"/>
  <c r="BH132" i="24"/>
  <c r="AP132" i="25" s="1"/>
  <c r="W70" i="25"/>
  <c r="BH70" i="24"/>
  <c r="AP70" i="25" s="1"/>
  <c r="W50" i="25"/>
  <c r="BH50" i="24"/>
  <c r="AP50" i="25" s="1"/>
  <c r="W8" i="25"/>
  <c r="BH8" i="24"/>
  <c r="AP8" i="25" s="1"/>
  <c r="W81" i="25"/>
  <c r="BH81" i="24"/>
  <c r="AP81" i="25" s="1"/>
  <c r="W32" i="25"/>
  <c r="BH32" i="24"/>
  <c r="AP32" i="25" s="1"/>
  <c r="W78" i="25"/>
  <c r="BH78" i="24"/>
  <c r="AP78" i="25" s="1"/>
  <c r="W65" i="25"/>
  <c r="BH65" i="24"/>
  <c r="AP65" i="25" s="1"/>
  <c r="W52" i="25"/>
  <c r="BH52" i="24"/>
  <c r="AP52" i="25" s="1"/>
  <c r="W27" i="25"/>
  <c r="BH27" i="24"/>
  <c r="AP27" i="25" s="1"/>
  <c r="W80" i="25"/>
  <c r="BH80" i="24"/>
  <c r="AP80" i="25" s="1"/>
  <c r="W62" i="25"/>
  <c r="BH62" i="24"/>
  <c r="AP62" i="25" s="1"/>
  <c r="W107" i="25"/>
  <c r="BH107" i="24"/>
  <c r="AP107" i="25" s="1"/>
  <c r="W77" i="25"/>
  <c r="BH77" i="24"/>
  <c r="AP77" i="25" s="1"/>
  <c r="W6" i="25"/>
  <c r="BH6" i="24"/>
  <c r="AP6" i="25" s="1"/>
  <c r="W12" i="25"/>
  <c r="BH12" i="24"/>
  <c r="AP12" i="25" s="1"/>
  <c r="W98" i="25"/>
  <c r="BH98" i="24"/>
  <c r="AP98" i="25" s="1"/>
  <c r="W75" i="25"/>
  <c r="BH75" i="24"/>
  <c r="AP75" i="25" s="1"/>
  <c r="W127" i="25"/>
  <c r="BH127" i="24"/>
  <c r="AP127" i="25" s="1"/>
  <c r="W63" i="25"/>
  <c r="BH63" i="24"/>
  <c r="AP63" i="25" s="1"/>
  <c r="W14" i="25"/>
  <c r="BH14" i="24"/>
  <c r="AP14" i="25" s="1"/>
  <c r="W66" i="25"/>
  <c r="BH66" i="24"/>
  <c r="AP66" i="25" s="1"/>
  <c r="W53" i="25"/>
  <c r="BH53" i="24"/>
  <c r="AP53" i="25" s="1"/>
  <c r="W40" i="25"/>
  <c r="BH40" i="24"/>
  <c r="AP40" i="25" s="1"/>
  <c r="W45" i="25"/>
  <c r="BH45" i="24"/>
  <c r="AP45" i="25" s="1"/>
  <c r="W7" i="25"/>
  <c r="BH7" i="24"/>
  <c r="AP7" i="25" s="1"/>
  <c r="W21" i="25"/>
  <c r="BH21" i="24"/>
  <c r="AP21" i="25" s="1"/>
  <c r="W116" i="25"/>
  <c r="BH116" i="24"/>
  <c r="AP116" i="25" s="1"/>
  <c r="W19" i="25"/>
  <c r="BH19" i="24"/>
  <c r="AP19" i="25" s="1"/>
  <c r="W25" i="25"/>
  <c r="BH25" i="24"/>
  <c r="AP25" i="25" s="1"/>
  <c r="W10" i="25"/>
  <c r="BH10" i="24"/>
  <c r="AP10" i="25" s="1"/>
  <c r="W99" i="25"/>
  <c r="BH99" i="24"/>
  <c r="AP99" i="25" s="1"/>
  <c r="W44" i="25"/>
  <c r="BH44" i="24"/>
  <c r="AP44" i="25" s="1"/>
  <c r="W64" i="25"/>
  <c r="BH64" i="24"/>
  <c r="AP64" i="25" s="1"/>
  <c r="W108" i="25"/>
  <c r="BH108" i="24"/>
  <c r="AP108" i="25" s="1"/>
  <c r="CB91" i="24"/>
  <c r="CB104" i="24"/>
  <c r="W11" i="25"/>
  <c r="BH11" i="24"/>
  <c r="AP11" i="25" s="1"/>
  <c r="AG39" i="25"/>
  <c r="BR39" i="24"/>
  <c r="AZ39" i="25" s="1"/>
  <c r="AG108" i="25"/>
  <c r="BR108" i="24"/>
  <c r="AZ108" i="25" s="1"/>
  <c r="AG115" i="25"/>
  <c r="BR115" i="24"/>
  <c r="AZ115" i="25" s="1"/>
  <c r="W39" i="25"/>
  <c r="BH39" i="24"/>
  <c r="AP39" i="25" s="1"/>
  <c r="W121" i="25"/>
  <c r="BH121" i="24"/>
  <c r="AP121" i="25" s="1"/>
  <c r="W104" i="25"/>
  <c r="BH104" i="24"/>
  <c r="AP104" i="25" s="1"/>
  <c r="W111" i="25"/>
  <c r="BH111" i="24"/>
  <c r="AP111" i="25" s="1"/>
  <c r="W48" i="25"/>
  <c r="BH48" i="24"/>
  <c r="AP48" i="25" s="1"/>
  <c r="W133" i="25"/>
  <c r="BH133" i="24"/>
  <c r="AP133" i="25" s="1"/>
  <c r="W54" i="25"/>
  <c r="BH54" i="24"/>
  <c r="AP54" i="25" s="1"/>
  <c r="W41" i="25"/>
  <c r="BH41" i="24"/>
  <c r="AP41" i="25" s="1"/>
  <c r="W28" i="25"/>
  <c r="BH28" i="24"/>
  <c r="AP28" i="25" s="1"/>
  <c r="W87" i="25"/>
  <c r="BH87" i="24"/>
  <c r="AP87" i="25" s="1"/>
  <c r="W57" i="25"/>
  <c r="BH57" i="24"/>
  <c r="AP57" i="25" s="1"/>
  <c r="W61" i="25"/>
  <c r="BH61" i="24"/>
  <c r="AP61" i="25" s="1"/>
  <c r="W128" i="25"/>
  <c r="BH128" i="24"/>
  <c r="AP128" i="25" s="1"/>
  <c r="W113" i="25"/>
  <c r="BH113" i="24"/>
  <c r="AP113" i="25" s="1"/>
  <c r="W35" i="25"/>
  <c r="BH35" i="24"/>
  <c r="AP35" i="25" s="1"/>
  <c r="W89" i="25"/>
  <c r="BH89" i="24"/>
  <c r="AP89" i="25" s="1"/>
  <c r="W72" i="25"/>
  <c r="BH72" i="24"/>
  <c r="AP72" i="25" s="1"/>
  <c r="W96" i="25"/>
  <c r="BH96" i="24"/>
  <c r="AP96" i="25" s="1"/>
  <c r="AC85" i="25"/>
  <c r="BN85" i="24"/>
  <c r="AV85" i="25" s="1"/>
  <c r="W115" i="25"/>
  <c r="BH115" i="24"/>
  <c r="AP115" i="25" s="1"/>
  <c r="CB117" i="24"/>
  <c r="W37" i="25"/>
  <c r="BH37" i="24"/>
  <c r="AP37" i="25" s="1"/>
  <c r="W69" i="25"/>
  <c r="BH69" i="24"/>
  <c r="AP69" i="25" s="1"/>
  <c r="W129" i="25"/>
  <c r="BH129" i="24"/>
  <c r="AP129" i="25" s="1"/>
  <c r="W97" i="25"/>
  <c r="BH97" i="24"/>
  <c r="AP97" i="25" s="1"/>
  <c r="W33" i="25"/>
  <c r="BH33" i="24"/>
  <c r="AP33" i="25" s="1"/>
  <c r="W119" i="25"/>
  <c r="BH119" i="24"/>
  <c r="AP119" i="25" s="1"/>
  <c r="W42" i="25"/>
  <c r="BH42" i="24"/>
  <c r="AP42" i="25" s="1"/>
  <c r="W29" i="25"/>
  <c r="BH29" i="24"/>
  <c r="AP29" i="25" s="1"/>
  <c r="W16" i="25"/>
  <c r="BH16" i="24"/>
  <c r="AP16" i="25" s="1"/>
  <c r="W134" i="25"/>
  <c r="BH134" i="24"/>
  <c r="AP134" i="25" s="1"/>
  <c r="W102" i="25"/>
  <c r="BH102" i="24"/>
  <c r="AP102" i="25" s="1"/>
  <c r="W114" i="25"/>
  <c r="BH114" i="24"/>
  <c r="AP114" i="25" s="1"/>
  <c r="W84" i="25"/>
  <c r="BH84" i="24"/>
  <c r="AP84" i="25" s="1"/>
  <c r="W74" i="25"/>
  <c r="BH74" i="24"/>
  <c r="AP74" i="25" s="1"/>
  <c r="W88" i="25"/>
  <c r="BH88" i="24"/>
  <c r="AP88" i="25" s="1"/>
  <c r="W110" i="25"/>
  <c r="BH110" i="24"/>
  <c r="AP110" i="25" s="1"/>
  <c r="W22" i="25"/>
  <c r="BH22" i="24"/>
  <c r="AP22" i="25" s="1"/>
  <c r="W68" i="25"/>
  <c r="BH68" i="24"/>
  <c r="AP68" i="25" s="1"/>
  <c r="AK79" i="25"/>
  <c r="BV79" i="24"/>
  <c r="BD79" i="25" s="1"/>
  <c r="AK70" i="25"/>
  <c r="BV70" i="24"/>
  <c r="BD70" i="25" s="1"/>
  <c r="W94" i="25"/>
  <c r="BH94" i="24"/>
  <c r="AP94" i="25" s="1"/>
  <c r="W131" i="25"/>
  <c r="BH131" i="24"/>
  <c r="AP131" i="25" s="1"/>
  <c r="W82" i="25"/>
  <c r="BH82" i="24"/>
  <c r="AP82" i="25" s="1"/>
  <c r="W15" i="25"/>
  <c r="BH15" i="24"/>
  <c r="AP15" i="25" s="1"/>
  <c r="W105" i="25"/>
  <c r="BH105" i="24"/>
  <c r="AP105" i="25" s="1"/>
  <c r="W30" i="25"/>
  <c r="BH30" i="24"/>
  <c r="AP30" i="25" s="1"/>
  <c r="W17" i="25"/>
  <c r="BH17" i="24"/>
  <c r="AP17" i="25" s="1"/>
  <c r="AA41" i="25"/>
  <c r="BL41" i="24"/>
  <c r="AT41" i="25" s="1"/>
  <c r="W24" i="25"/>
  <c r="BH24" i="24"/>
  <c r="AP24" i="25" s="1"/>
  <c r="Z27" i="25"/>
  <c r="BK27" i="24"/>
  <c r="AS27" i="25" s="1"/>
  <c r="W101" i="25"/>
  <c r="BH101" i="24"/>
  <c r="AP101" i="25" s="1"/>
  <c r="W76" i="25"/>
  <c r="BH76" i="24"/>
  <c r="AP76" i="25" s="1"/>
  <c r="W23" i="25"/>
  <c r="BH23" i="24"/>
  <c r="AP23" i="25" s="1"/>
  <c r="CB41" i="24"/>
  <c r="CB98" i="24"/>
  <c r="W93" i="25"/>
  <c r="BH93" i="24"/>
  <c r="AP93" i="25" s="1"/>
  <c r="W120" i="25"/>
  <c r="BH120" i="24"/>
  <c r="AP120" i="25" s="1"/>
  <c r="W117" i="25"/>
  <c r="BH117" i="24"/>
  <c r="AP117" i="25" s="1"/>
  <c r="W67" i="25"/>
  <c r="BH67" i="24"/>
  <c r="AP67" i="25" s="1"/>
  <c r="W4" i="25"/>
  <c r="BH4" i="24"/>
  <c r="AP4" i="25" s="1"/>
  <c r="W91" i="25"/>
  <c r="BH91" i="24"/>
  <c r="AP91" i="25" s="1"/>
  <c r="W18" i="25"/>
  <c r="BH18" i="24"/>
  <c r="AP18" i="25" s="1"/>
  <c r="W136" i="25"/>
  <c r="BH136" i="24"/>
  <c r="AP136" i="25" s="1"/>
  <c r="W46" i="25"/>
  <c r="BH46" i="24"/>
  <c r="AP46" i="25" s="1"/>
  <c r="W9" i="25"/>
  <c r="BH9" i="24"/>
  <c r="AP9" i="25" s="1"/>
  <c r="AS130" i="24"/>
  <c r="AS120" i="24"/>
  <c r="AS42" i="24"/>
  <c r="AS134" i="24"/>
  <c r="AS46" i="24"/>
  <c r="AS82" i="24"/>
  <c r="AS108" i="24"/>
  <c r="AS28" i="24"/>
  <c r="AS14" i="24"/>
  <c r="AR135" i="24"/>
  <c r="AS104" i="24"/>
  <c r="AR134" i="24"/>
  <c r="AR30" i="24"/>
  <c r="AR70" i="24"/>
  <c r="AR23" i="24"/>
  <c r="AR42" i="24"/>
  <c r="AR127" i="24"/>
  <c r="AR102" i="24"/>
  <c r="AR89" i="24"/>
  <c r="AR15" i="24"/>
  <c r="AS97" i="24"/>
  <c r="AR54" i="24"/>
  <c r="AS19" i="24"/>
  <c r="AS115" i="24"/>
  <c r="AS25" i="24"/>
  <c r="AS68" i="24"/>
  <c r="AS94" i="24"/>
  <c r="AS16" i="24"/>
  <c r="AS121" i="24"/>
  <c r="AS79" i="24"/>
  <c r="AS83" i="24"/>
  <c r="AR36" i="24"/>
  <c r="AR117" i="24"/>
  <c r="AR9" i="24"/>
  <c r="AR46" i="24"/>
  <c r="AR121" i="24"/>
  <c r="AR18" i="24"/>
  <c r="AR115" i="24"/>
  <c r="AR90" i="24"/>
  <c r="AR77" i="24"/>
  <c r="AR74" i="24"/>
  <c r="AS24" i="24"/>
  <c r="AS17" i="24"/>
  <c r="AR45" i="24"/>
  <c r="AR26" i="24"/>
  <c r="AS74" i="24"/>
  <c r="AS133" i="24"/>
  <c r="AS102" i="24"/>
  <c r="AS125" i="24"/>
  <c r="AS5" i="24"/>
  <c r="AS87" i="24"/>
  <c r="AR17" i="24"/>
  <c r="AR16" i="24"/>
  <c r="AR52" i="24"/>
  <c r="AR24" i="24"/>
  <c r="AR22" i="24"/>
  <c r="AR83" i="24"/>
  <c r="AR49" i="24"/>
  <c r="AR20" i="24"/>
  <c r="AR5" i="24"/>
  <c r="AR14" i="24"/>
  <c r="AS9" i="24"/>
  <c r="AS116" i="24"/>
  <c r="AR71" i="24"/>
  <c r="AS55" i="24"/>
  <c r="AS26" i="24"/>
  <c r="AS86" i="24"/>
  <c r="AS53" i="24"/>
  <c r="AS136" i="24"/>
  <c r="AS27" i="24"/>
  <c r="AR10" i="24"/>
  <c r="AR82" i="24"/>
  <c r="AS34" i="24"/>
  <c r="AR129" i="24"/>
  <c r="AR29" i="24"/>
  <c r="AR122" i="24"/>
  <c r="AR136" i="24"/>
  <c r="AR69" i="24"/>
  <c r="AR35" i="24"/>
  <c r="AR6" i="24"/>
  <c r="AR75" i="24"/>
  <c r="AR95" i="24"/>
  <c r="AS128" i="24"/>
  <c r="AS32" i="24"/>
  <c r="AS132" i="24"/>
  <c r="AS72" i="24"/>
  <c r="AS37" i="24"/>
  <c r="AS124" i="24"/>
  <c r="AS15" i="24"/>
  <c r="AR73" i="24"/>
  <c r="AR132" i="24"/>
  <c r="AR31" i="24"/>
  <c r="AR110" i="24"/>
  <c r="AR8" i="24"/>
  <c r="AR105" i="24"/>
  <c r="AR120" i="24"/>
  <c r="AR55" i="24"/>
  <c r="AR21" i="24"/>
  <c r="AR4" i="24"/>
  <c r="AR63" i="24"/>
  <c r="AS48" i="24"/>
  <c r="AS99" i="24"/>
  <c r="AS85" i="24"/>
  <c r="AR65" i="24"/>
  <c r="AS105" i="24"/>
  <c r="AS10" i="24"/>
  <c r="AS113" i="24"/>
  <c r="AS58" i="24"/>
  <c r="AS23" i="24"/>
  <c r="AS112" i="24"/>
  <c r="AR118" i="24"/>
  <c r="AR133" i="24"/>
  <c r="AR40" i="24"/>
  <c r="AR93" i="24"/>
  <c r="AR124" i="24"/>
  <c r="AR86" i="24"/>
  <c r="AR100" i="24"/>
  <c r="AR41" i="24"/>
  <c r="AR7" i="24"/>
  <c r="AR125" i="24"/>
  <c r="AR51" i="24"/>
  <c r="AS8" i="24"/>
  <c r="AR37" i="24"/>
  <c r="AR34" i="24"/>
  <c r="AS84" i="24"/>
  <c r="AS4" i="24"/>
  <c r="AS90" i="24"/>
  <c r="AS44" i="24"/>
  <c r="AS7" i="24"/>
  <c r="AS100" i="24"/>
  <c r="AR57" i="24"/>
  <c r="AR99" i="24"/>
  <c r="AR72" i="24"/>
  <c r="AR108" i="24"/>
  <c r="AR67" i="24"/>
  <c r="AR84" i="24"/>
  <c r="AR25" i="24"/>
  <c r="AR126" i="24"/>
  <c r="AR113" i="24"/>
  <c r="AR39" i="24"/>
  <c r="AL78" i="25"/>
  <c r="AS118" i="24"/>
  <c r="AS111" i="24"/>
  <c r="AS20" i="24"/>
  <c r="AS29" i="24"/>
  <c r="AR43" i="24"/>
  <c r="AR19" i="24"/>
  <c r="CB81" i="24"/>
  <c r="AS57" i="24"/>
  <c r="AS61" i="24"/>
  <c r="AS31" i="24"/>
  <c r="AS69" i="24"/>
  <c r="AS96" i="24"/>
  <c r="AS122" i="24"/>
  <c r="AS40" i="24"/>
  <c r="AR32" i="24"/>
  <c r="AR112" i="24"/>
  <c r="AR53" i="24"/>
  <c r="AR88" i="24"/>
  <c r="AR44" i="24"/>
  <c r="AR60" i="24"/>
  <c r="AR11" i="24"/>
  <c r="AR114" i="24"/>
  <c r="AR101" i="24"/>
  <c r="CB55" i="24"/>
  <c r="CB112" i="24"/>
  <c r="CB68" i="24"/>
  <c r="CB71" i="24"/>
  <c r="CB89" i="24"/>
  <c r="CB107" i="24"/>
  <c r="CB120" i="24"/>
  <c r="CB133" i="24"/>
  <c r="CB84" i="24"/>
  <c r="CB54" i="24"/>
  <c r="CB106" i="24"/>
  <c r="M22" i="24"/>
  <c r="M97" i="24" s="1"/>
  <c r="M17" i="24"/>
  <c r="M92" i="24" s="1"/>
  <c r="M20" i="24"/>
  <c r="M95" i="24" s="1"/>
  <c r="N105" i="25"/>
  <c r="AS98" i="24"/>
  <c r="AS117" i="24"/>
  <c r="AS114" i="24"/>
  <c r="AS107" i="24"/>
  <c r="AS30" i="24"/>
  <c r="AS109" i="24"/>
  <c r="AS66" i="24"/>
  <c r="AS88" i="24"/>
  <c r="AS75" i="24"/>
  <c r="CB99" i="24"/>
  <c r="CB102" i="24"/>
  <c r="CB92" i="24"/>
  <c r="CB97" i="24"/>
  <c r="CB115" i="24"/>
  <c r="CB128" i="24"/>
  <c r="CB9" i="24"/>
  <c r="CB87" i="24"/>
  <c r="CB58" i="24"/>
  <c r="CB110" i="24"/>
  <c r="CB6" i="24"/>
  <c r="AS77" i="24"/>
  <c r="AS93" i="24"/>
  <c r="AS91" i="24"/>
  <c r="AS89" i="24"/>
  <c r="AS13" i="24"/>
  <c r="AS95" i="24"/>
  <c r="AS50" i="24"/>
  <c r="AS76" i="24"/>
  <c r="AS63" i="24"/>
  <c r="AS43" i="24"/>
  <c r="CB75" i="24"/>
  <c r="CB77" i="24"/>
  <c r="CB125" i="24"/>
  <c r="CB47" i="24"/>
  <c r="CB16" i="24"/>
  <c r="CB39" i="24"/>
  <c r="CB100" i="24"/>
  <c r="CB105" i="24"/>
  <c r="CB123" i="24"/>
  <c r="CB136" i="24"/>
  <c r="CB21" i="24"/>
  <c r="CB95" i="24"/>
  <c r="CB62" i="24"/>
  <c r="CB114" i="24"/>
  <c r="CB11" i="24"/>
  <c r="CB10" i="24"/>
  <c r="M9" i="24"/>
  <c r="M84" i="24" s="1"/>
  <c r="AS56" i="24"/>
  <c r="AS73" i="24"/>
  <c r="AS70" i="24"/>
  <c r="AS65" i="24"/>
  <c r="AS126" i="24"/>
  <c r="AS81" i="24"/>
  <c r="AS36" i="24"/>
  <c r="AS64" i="24"/>
  <c r="AS51" i="24"/>
  <c r="AS106" i="24"/>
  <c r="CB30" i="24"/>
  <c r="CB108" i="24"/>
  <c r="CB113" i="24"/>
  <c r="CB131" i="24"/>
  <c r="CB20" i="24"/>
  <c r="CB22" i="24"/>
  <c r="CB103" i="24"/>
  <c r="CB66" i="24"/>
  <c r="CB122" i="24"/>
  <c r="AS33" i="24"/>
  <c r="AS49" i="24"/>
  <c r="AS47" i="24"/>
  <c r="AS45" i="24"/>
  <c r="AS110" i="24"/>
  <c r="AS67" i="24"/>
  <c r="AS22" i="24"/>
  <c r="AS52" i="24"/>
  <c r="AS39" i="24"/>
  <c r="AS101" i="24"/>
  <c r="AS18" i="24"/>
  <c r="CB116" i="24"/>
  <c r="CB121" i="24"/>
  <c r="CB19" i="24"/>
  <c r="CB24" i="24"/>
  <c r="CB35" i="24"/>
  <c r="CB111" i="24"/>
  <c r="CB74" i="24"/>
  <c r="CB126" i="24"/>
  <c r="CB5" i="24"/>
  <c r="CB25" i="24"/>
  <c r="CB124" i="24"/>
  <c r="CB129" i="24"/>
  <c r="CB31" i="24"/>
  <c r="CB53" i="24"/>
  <c r="CB56" i="24"/>
  <c r="CB127" i="24"/>
  <c r="CB78" i="24"/>
  <c r="CB130" i="24"/>
  <c r="CB80" i="24"/>
  <c r="CB132" i="24"/>
  <c r="CB18" i="24"/>
  <c r="CB48" i="24"/>
  <c r="CB69" i="24"/>
  <c r="CB33" i="24"/>
  <c r="CB135" i="24"/>
  <c r="CB82" i="24"/>
  <c r="CB134" i="24"/>
  <c r="CB49" i="24"/>
  <c r="CB26" i="24"/>
  <c r="CB28" i="24"/>
  <c r="CB63" i="24"/>
  <c r="CB93" i="24"/>
  <c r="CB45" i="24"/>
  <c r="CB34" i="24"/>
  <c r="CB86" i="24"/>
  <c r="CB46" i="24"/>
  <c r="CB14" i="24"/>
  <c r="M7" i="24"/>
  <c r="M82" i="24" s="1"/>
  <c r="CB29" i="24"/>
  <c r="CB37" i="24"/>
  <c r="CB88" i="24"/>
  <c r="CB101" i="24"/>
  <c r="CB52" i="24"/>
  <c r="CB36" i="24"/>
  <c r="CB90" i="24"/>
  <c r="CB38" i="24"/>
  <c r="CB32" i="24"/>
  <c r="CB42" i="24"/>
  <c r="CB76" i="24"/>
  <c r="CB96" i="24"/>
  <c r="CB109" i="24"/>
  <c r="CB65" i="24"/>
  <c r="CB40" i="24"/>
  <c r="CB94" i="24"/>
  <c r="AS59" i="24"/>
  <c r="AS78" i="24"/>
  <c r="AS103" i="24"/>
  <c r="AS127" i="24"/>
  <c r="AS129" i="24"/>
  <c r="AS35" i="24"/>
  <c r="AS12" i="24"/>
  <c r="AS60" i="24"/>
  <c r="AS62" i="24"/>
  <c r="N67" i="25"/>
  <c r="CB44" i="24"/>
  <c r="CB51" i="24"/>
  <c r="CB60" i="24"/>
  <c r="CB79" i="24"/>
  <c r="CB85" i="24"/>
  <c r="CB72" i="24"/>
  <c r="CB119" i="24"/>
  <c r="CB70" i="24"/>
  <c r="CB118" i="24"/>
  <c r="AV7" i="24"/>
  <c r="AV19" i="24"/>
  <c r="AV31" i="24"/>
  <c r="AV43" i="24"/>
  <c r="AV55" i="24"/>
  <c r="AV67" i="24"/>
  <c r="AV79" i="24"/>
  <c r="AV91" i="24"/>
  <c r="AV103" i="24"/>
  <c r="AV115" i="24"/>
  <c r="AV127" i="24"/>
  <c r="AV11" i="24"/>
  <c r="AV23" i="24"/>
  <c r="AV35" i="24"/>
  <c r="AV47" i="24"/>
  <c r="AV59" i="24"/>
  <c r="AV71" i="24"/>
  <c r="AV83" i="24"/>
  <c r="AV95" i="24"/>
  <c r="AV107" i="24"/>
  <c r="AV119" i="24"/>
  <c r="AV131" i="24"/>
  <c r="AV12" i="24"/>
  <c r="AV24" i="24"/>
  <c r="AV36" i="24"/>
  <c r="AV48" i="24"/>
  <c r="AV60" i="24"/>
  <c r="AV72" i="24"/>
  <c r="AV84" i="24"/>
  <c r="AV96" i="24"/>
  <c r="AV108" i="24"/>
  <c r="AV16" i="24"/>
  <c r="AV28" i="24"/>
  <c r="AV40" i="24"/>
  <c r="AV52" i="24"/>
  <c r="AV64" i="24"/>
  <c r="AV76" i="24"/>
  <c r="AV88" i="24"/>
  <c r="AV100" i="24"/>
  <c r="AV112" i="24"/>
  <c r="AV124" i="24"/>
  <c r="AV136" i="24"/>
  <c r="AV9" i="24"/>
  <c r="AV27" i="24"/>
  <c r="AV45" i="24"/>
  <c r="AV63" i="24"/>
  <c r="AV81" i="24"/>
  <c r="AV99" i="24"/>
  <c r="AV117" i="24"/>
  <c r="AV133" i="24"/>
  <c r="AV10" i="24"/>
  <c r="AV29" i="24"/>
  <c r="AV46" i="24"/>
  <c r="AV65" i="24"/>
  <c r="AV82" i="24"/>
  <c r="AV101" i="24"/>
  <c r="AV118" i="24"/>
  <c r="AV134" i="24"/>
  <c r="AV13" i="24"/>
  <c r="AV30" i="24"/>
  <c r="AV49" i="24"/>
  <c r="AV66" i="24"/>
  <c r="AV85" i="24"/>
  <c r="AV102" i="24"/>
  <c r="AV120" i="24"/>
  <c r="AV135" i="24"/>
  <c r="AV18" i="24"/>
  <c r="AV37" i="24"/>
  <c r="AV54" i="24"/>
  <c r="AV73" i="24"/>
  <c r="AV90" i="24"/>
  <c r="AV109" i="24"/>
  <c r="AV125" i="24"/>
  <c r="AV32" i="24"/>
  <c r="AV57" i="24"/>
  <c r="AV86" i="24"/>
  <c r="AV111" i="24"/>
  <c r="AV4" i="24"/>
  <c r="AV5" i="24"/>
  <c r="AV33" i="24"/>
  <c r="AV58" i="24"/>
  <c r="AV87" i="24"/>
  <c r="AV113" i="24"/>
  <c r="AV6" i="24"/>
  <c r="AV34" i="24"/>
  <c r="AV61" i="24"/>
  <c r="AV89" i="24"/>
  <c r="AV114" i="24"/>
  <c r="AV17" i="24"/>
  <c r="AV42" i="24"/>
  <c r="AV70" i="24"/>
  <c r="AV97" i="24"/>
  <c r="AV123" i="24"/>
  <c r="AV20" i="24"/>
  <c r="AV56" i="24"/>
  <c r="AV98" i="24"/>
  <c r="AV132" i="24"/>
  <c r="AV21" i="24"/>
  <c r="AV62" i="24"/>
  <c r="AV104" i="24"/>
  <c r="AV22" i="24"/>
  <c r="AV68" i="24"/>
  <c r="AV105" i="24"/>
  <c r="AV25" i="24"/>
  <c r="AV69" i="24"/>
  <c r="AV106" i="24"/>
  <c r="AV26" i="24"/>
  <c r="AV74" i="24"/>
  <c r="AV110" i="24"/>
  <c r="AV38" i="24"/>
  <c r="AV75" i="24"/>
  <c r="AV116" i="24"/>
  <c r="AV39" i="24"/>
  <c r="AV77" i="24"/>
  <c r="AV121" i="24"/>
  <c r="AV14" i="24"/>
  <c r="AV51" i="24"/>
  <c r="AV93" i="24"/>
  <c r="AV129" i="24"/>
  <c r="AV122" i="24"/>
  <c r="AV126" i="24"/>
  <c r="AV8" i="24"/>
  <c r="AV128" i="24"/>
  <c r="AV15" i="24"/>
  <c r="AV130" i="24"/>
  <c r="AV41" i="24"/>
  <c r="AV44" i="24"/>
  <c r="AV78" i="24"/>
  <c r="AV80" i="24"/>
  <c r="AV50" i="24"/>
  <c r="AV53" i="24"/>
  <c r="AV92" i="24"/>
  <c r="AV94" i="24"/>
  <c r="M16" i="24"/>
  <c r="M91" i="24" s="1"/>
  <c r="AX5" i="24"/>
  <c r="AX17" i="24"/>
  <c r="AX29" i="24"/>
  <c r="AX41" i="24"/>
  <c r="AX53" i="24"/>
  <c r="AX65" i="24"/>
  <c r="AX77" i="24"/>
  <c r="AX89" i="24"/>
  <c r="AX101" i="24"/>
  <c r="AX113" i="24"/>
  <c r="AX125" i="24"/>
  <c r="AX4" i="24"/>
  <c r="AX6" i="24"/>
  <c r="AX18" i="24"/>
  <c r="AX30" i="24"/>
  <c r="AX42" i="24"/>
  <c r="AX54" i="24"/>
  <c r="AX66" i="24"/>
  <c r="AX78" i="24"/>
  <c r="AX7" i="24"/>
  <c r="AX19" i="24"/>
  <c r="AX31" i="24"/>
  <c r="AX43" i="24"/>
  <c r="AX55" i="24"/>
  <c r="AX67" i="24"/>
  <c r="AX79" i="24"/>
  <c r="AX91" i="24"/>
  <c r="AX103" i="24"/>
  <c r="AX115" i="24"/>
  <c r="AX127" i="24"/>
  <c r="AX15" i="24"/>
  <c r="AX33" i="24"/>
  <c r="AX48" i="24"/>
  <c r="AX63" i="24"/>
  <c r="AX81" i="24"/>
  <c r="AX95" i="24"/>
  <c r="AX109" i="24"/>
  <c r="AX123" i="24"/>
  <c r="AX22" i="24"/>
  <c r="AX37" i="24"/>
  <c r="AX52" i="24"/>
  <c r="AX70" i="24"/>
  <c r="AX85" i="24"/>
  <c r="AX99" i="24"/>
  <c r="AX114" i="24"/>
  <c r="AX129" i="24"/>
  <c r="AX8" i="24"/>
  <c r="AX23" i="24"/>
  <c r="AX38" i="24"/>
  <c r="AX56" i="24"/>
  <c r="AX71" i="24"/>
  <c r="AX86" i="24"/>
  <c r="AX100" i="24"/>
  <c r="AX116" i="24"/>
  <c r="AX130" i="24"/>
  <c r="AX12" i="24"/>
  <c r="AX27" i="24"/>
  <c r="AX45" i="24"/>
  <c r="AX60" i="24"/>
  <c r="AX75" i="24"/>
  <c r="AX92" i="24"/>
  <c r="AX106" i="24"/>
  <c r="AX120" i="24"/>
  <c r="AX134" i="24"/>
  <c r="AX20" i="24"/>
  <c r="AX44" i="24"/>
  <c r="AX68" i="24"/>
  <c r="AX90" i="24"/>
  <c r="AX111" i="24"/>
  <c r="AX133" i="24"/>
  <c r="AX21" i="24"/>
  <c r="AX46" i="24"/>
  <c r="AX69" i="24"/>
  <c r="AX93" i="24"/>
  <c r="AX112" i="24"/>
  <c r="AX135" i="24"/>
  <c r="AX24" i="24"/>
  <c r="AX47" i="24"/>
  <c r="AX72" i="24"/>
  <c r="AX94" i="24"/>
  <c r="AX117" i="24"/>
  <c r="AX136" i="24"/>
  <c r="AX9" i="24"/>
  <c r="AX32" i="24"/>
  <c r="AX57" i="24"/>
  <c r="AX80" i="24"/>
  <c r="AX102" i="24"/>
  <c r="AX122" i="24"/>
  <c r="AX11" i="24"/>
  <c r="AX49" i="24"/>
  <c r="AX83" i="24"/>
  <c r="AX118" i="24"/>
  <c r="AX13" i="24"/>
  <c r="AX50" i="24"/>
  <c r="AX84" i="24"/>
  <c r="AX119" i="24"/>
  <c r="AX14" i="24"/>
  <c r="AX51" i="24"/>
  <c r="AX87" i="24"/>
  <c r="AX121" i="24"/>
  <c r="AX28" i="24"/>
  <c r="AX62" i="24"/>
  <c r="AX98" i="24"/>
  <c r="AX131" i="24"/>
  <c r="AX40" i="24"/>
  <c r="AX104" i="24"/>
  <c r="AX58" i="24"/>
  <c r="AX105" i="24"/>
  <c r="AX59" i="24"/>
  <c r="AX107" i="24"/>
  <c r="AX61" i="24"/>
  <c r="AX108" i="24"/>
  <c r="AX10" i="24"/>
  <c r="AX64" i="24"/>
  <c r="AX110" i="24"/>
  <c r="AX16" i="24"/>
  <c r="AX73" i="24"/>
  <c r="AX124" i="24"/>
  <c r="AX25" i="24"/>
  <c r="AX74" i="24"/>
  <c r="AX126" i="24"/>
  <c r="AX36" i="24"/>
  <c r="AX96" i="24"/>
  <c r="AX128" i="24"/>
  <c r="AX132" i="24"/>
  <c r="AX26" i="24"/>
  <c r="AX34" i="24"/>
  <c r="AX82" i="24"/>
  <c r="AX35" i="24"/>
  <c r="AX39" i="24"/>
  <c r="AX76" i="24"/>
  <c r="AX88" i="24"/>
  <c r="AX97" i="24"/>
  <c r="M12" i="24"/>
  <c r="M87" i="24" s="1"/>
  <c r="AW16" i="24"/>
  <c r="AW28" i="24"/>
  <c r="AW40" i="24"/>
  <c r="AW52" i="24"/>
  <c r="AW64" i="24"/>
  <c r="AW76" i="24"/>
  <c r="AW88" i="24"/>
  <c r="AW6" i="24"/>
  <c r="AW18" i="24"/>
  <c r="AW30" i="24"/>
  <c r="AW42" i="24"/>
  <c r="AW54" i="24"/>
  <c r="AW66" i="24"/>
  <c r="AW78" i="24"/>
  <c r="AW90" i="24"/>
  <c r="AW5" i="24"/>
  <c r="AW20" i="24"/>
  <c r="AW34" i="24"/>
  <c r="AW48" i="24"/>
  <c r="AW62" i="24"/>
  <c r="AW77" i="24"/>
  <c r="AW92" i="24"/>
  <c r="AW104" i="24"/>
  <c r="AW116" i="24"/>
  <c r="AW128" i="24"/>
  <c r="AW10" i="24"/>
  <c r="AW24" i="24"/>
  <c r="AW38" i="24"/>
  <c r="AW53" i="24"/>
  <c r="AW68" i="24"/>
  <c r="AW82" i="24"/>
  <c r="AW96" i="24"/>
  <c r="AW108" i="24"/>
  <c r="AW120" i="24"/>
  <c r="AW132" i="24"/>
  <c r="AW11" i="24"/>
  <c r="AW25" i="24"/>
  <c r="AW39" i="24"/>
  <c r="AW55" i="24"/>
  <c r="AW69" i="24"/>
  <c r="AW83" i="24"/>
  <c r="AW97" i="24"/>
  <c r="AW109" i="24"/>
  <c r="AW121" i="24"/>
  <c r="AW133" i="24"/>
  <c r="AW15" i="24"/>
  <c r="AW31" i="24"/>
  <c r="AW45" i="24"/>
  <c r="AW59" i="24"/>
  <c r="AW73" i="24"/>
  <c r="AW87" i="24"/>
  <c r="AW101" i="24"/>
  <c r="AW113" i="24"/>
  <c r="AW125" i="24"/>
  <c r="AW4" i="24"/>
  <c r="AW22" i="24"/>
  <c r="AW44" i="24"/>
  <c r="AW65" i="24"/>
  <c r="AW86" i="24"/>
  <c r="AW106" i="24"/>
  <c r="AW124" i="24"/>
  <c r="AW23" i="24"/>
  <c r="AW46" i="24"/>
  <c r="AW67" i="24"/>
  <c r="AW89" i="24"/>
  <c r="AW107" i="24"/>
  <c r="AW126" i="24"/>
  <c r="AW26" i="24"/>
  <c r="AW47" i="24"/>
  <c r="AW70" i="24"/>
  <c r="AW91" i="24"/>
  <c r="AW110" i="24"/>
  <c r="AW127" i="24"/>
  <c r="AW12" i="24"/>
  <c r="AW33" i="24"/>
  <c r="AW56" i="24"/>
  <c r="AW75" i="24"/>
  <c r="AW98" i="24"/>
  <c r="AW115" i="24"/>
  <c r="AW134" i="24"/>
  <c r="AW14" i="24"/>
  <c r="AW49" i="24"/>
  <c r="AW80" i="24"/>
  <c r="AW111" i="24"/>
  <c r="AW136" i="24"/>
  <c r="AW17" i="24"/>
  <c r="AW50" i="24"/>
  <c r="AW81" i="24"/>
  <c r="AW112" i="24"/>
  <c r="AW19" i="24"/>
  <c r="AW51" i="24"/>
  <c r="AW84" i="24"/>
  <c r="AW114" i="24"/>
  <c r="AW32" i="24"/>
  <c r="AW61" i="24"/>
  <c r="AW95" i="24"/>
  <c r="AW122" i="24"/>
  <c r="AW13" i="24"/>
  <c r="AW63" i="24"/>
  <c r="AW105" i="24"/>
  <c r="AW21" i="24"/>
  <c r="AW71" i="24"/>
  <c r="AW117" i="24"/>
  <c r="AW27" i="24"/>
  <c r="AW72" i="24"/>
  <c r="AW118" i="24"/>
  <c r="AW29" i="24"/>
  <c r="AW74" i="24"/>
  <c r="AW119" i="24"/>
  <c r="AW35" i="24"/>
  <c r="AW79" i="24"/>
  <c r="AW123" i="24"/>
  <c r="AW36" i="24"/>
  <c r="AW85" i="24"/>
  <c r="AW129" i="24"/>
  <c r="AW37" i="24"/>
  <c r="AW93" i="24"/>
  <c r="AW130" i="24"/>
  <c r="AW8" i="24"/>
  <c r="AW58" i="24"/>
  <c r="AW102" i="24"/>
  <c r="AW131" i="24"/>
  <c r="AW135" i="24"/>
  <c r="AW9" i="24"/>
  <c r="AW41" i="24"/>
  <c r="AW43" i="24"/>
  <c r="AW99" i="24"/>
  <c r="AW57" i="24"/>
  <c r="AW60" i="24"/>
  <c r="AW94" i="24"/>
  <c r="AW100" i="24"/>
  <c r="AW103" i="24"/>
  <c r="AW7" i="24"/>
  <c r="AT16" i="24"/>
  <c r="AT28" i="24"/>
  <c r="AT40" i="24"/>
  <c r="AT52" i="24"/>
  <c r="AT64" i="24"/>
  <c r="AT76" i="24"/>
  <c r="AT88" i="24"/>
  <c r="AT100" i="24"/>
  <c r="AT112" i="24"/>
  <c r="AT124" i="24"/>
  <c r="AT136" i="24"/>
  <c r="AT5" i="24"/>
  <c r="AT17" i="24"/>
  <c r="AT29" i="24"/>
  <c r="AT41" i="24"/>
  <c r="AT53" i="24"/>
  <c r="AT65" i="24"/>
  <c r="AT77" i="24"/>
  <c r="AT89" i="24"/>
  <c r="AT101" i="24"/>
  <c r="AT113" i="24"/>
  <c r="AT125" i="24"/>
  <c r="AT4" i="24"/>
  <c r="AT6" i="24"/>
  <c r="AT18" i="24"/>
  <c r="AT30" i="24"/>
  <c r="AT42" i="24"/>
  <c r="AT54" i="24"/>
  <c r="AT66" i="24"/>
  <c r="AT78" i="24"/>
  <c r="AT90" i="24"/>
  <c r="AT102" i="24"/>
  <c r="AT114" i="24"/>
  <c r="AT126" i="24"/>
  <c r="AT10" i="24"/>
  <c r="AT22" i="24"/>
  <c r="AT34" i="24"/>
  <c r="AT46" i="24"/>
  <c r="AT58" i="24"/>
  <c r="AT70" i="24"/>
  <c r="AT82" i="24"/>
  <c r="AT94" i="24"/>
  <c r="AT106" i="24"/>
  <c r="AT118" i="24"/>
  <c r="AT130" i="24"/>
  <c r="AT12" i="24"/>
  <c r="AT31" i="24"/>
  <c r="AT48" i="24"/>
  <c r="AT67" i="24"/>
  <c r="AT84" i="24"/>
  <c r="AT103" i="24"/>
  <c r="AT120" i="24"/>
  <c r="AT13" i="24"/>
  <c r="AT32" i="24"/>
  <c r="AT49" i="24"/>
  <c r="AT68" i="24"/>
  <c r="AT85" i="24"/>
  <c r="AT104" i="24"/>
  <c r="AT121" i="24"/>
  <c r="AT14" i="24"/>
  <c r="AT33" i="24"/>
  <c r="AT50" i="24"/>
  <c r="AT69" i="24"/>
  <c r="AT86" i="24"/>
  <c r="AT105" i="24"/>
  <c r="AT122" i="24"/>
  <c r="AT21" i="24"/>
  <c r="AT38" i="24"/>
  <c r="AT57" i="24"/>
  <c r="AT74" i="24"/>
  <c r="AT93" i="24"/>
  <c r="AT110" i="24"/>
  <c r="AT129" i="24"/>
  <c r="AT23" i="24"/>
  <c r="AT47" i="24"/>
  <c r="AT75" i="24"/>
  <c r="AT99" i="24"/>
  <c r="AT131" i="24"/>
  <c r="AT24" i="24"/>
  <c r="AT51" i="24"/>
  <c r="AT79" i="24"/>
  <c r="AT107" i="24"/>
  <c r="AT132" i="24"/>
  <c r="AT25" i="24"/>
  <c r="AT55" i="24"/>
  <c r="AT80" i="24"/>
  <c r="AT108" i="24"/>
  <c r="AT133" i="24"/>
  <c r="AT26" i="24"/>
  <c r="AT56" i="24"/>
  <c r="AT81" i="24"/>
  <c r="AT109" i="24"/>
  <c r="AT134" i="24"/>
  <c r="AT27" i="24"/>
  <c r="AT59" i="24"/>
  <c r="AT83" i="24"/>
  <c r="AT111" i="24"/>
  <c r="AT135" i="24"/>
  <c r="AT7" i="24"/>
  <c r="AT35" i="24"/>
  <c r="AT60" i="24"/>
  <c r="AT87" i="24"/>
  <c r="AT115" i="24"/>
  <c r="AT8" i="24"/>
  <c r="AT36" i="24"/>
  <c r="AT61" i="24"/>
  <c r="AT91" i="24"/>
  <c r="AT116" i="24"/>
  <c r="AT19" i="24"/>
  <c r="AT44" i="24"/>
  <c r="AT72" i="24"/>
  <c r="AT97" i="24"/>
  <c r="AT127" i="24"/>
  <c r="AT37" i="24"/>
  <c r="AT117" i="24"/>
  <c r="AT39" i="24"/>
  <c r="AT119" i="24"/>
  <c r="AT123" i="24"/>
  <c r="AT45" i="24"/>
  <c r="AT128" i="24"/>
  <c r="AT62" i="24"/>
  <c r="AT63" i="24"/>
  <c r="AT92" i="24"/>
  <c r="AT11" i="24"/>
  <c r="AT95" i="24"/>
  <c r="AT71" i="24"/>
  <c r="AT73" i="24"/>
  <c r="AT9" i="24"/>
  <c r="AT15" i="24"/>
  <c r="AT96" i="24"/>
  <c r="AT20" i="24"/>
  <c r="AT98" i="24"/>
  <c r="AT43" i="24"/>
  <c r="AQ16" i="24"/>
  <c r="AQ28" i="24"/>
  <c r="AQ40" i="24"/>
  <c r="AQ52" i="24"/>
  <c r="AQ64" i="24"/>
  <c r="AQ76" i="24"/>
  <c r="AQ88" i="24"/>
  <c r="AQ100" i="24"/>
  <c r="AQ112" i="24"/>
  <c r="AQ124" i="24"/>
  <c r="AQ136" i="24"/>
  <c r="AQ5" i="24"/>
  <c r="AQ17" i="24"/>
  <c r="AQ29" i="24"/>
  <c r="AQ41" i="24"/>
  <c r="AQ53" i="24"/>
  <c r="AQ65" i="24"/>
  <c r="AQ77" i="24"/>
  <c r="AQ89" i="24"/>
  <c r="AQ101" i="24"/>
  <c r="AQ113" i="24"/>
  <c r="AQ125" i="24"/>
  <c r="AQ4" i="24"/>
  <c r="AQ6" i="24"/>
  <c r="AQ18" i="24"/>
  <c r="AQ30" i="24"/>
  <c r="AQ42" i="24"/>
  <c r="AQ54" i="24"/>
  <c r="AQ66" i="24"/>
  <c r="AQ78" i="24"/>
  <c r="AQ90" i="24"/>
  <c r="AQ102" i="24"/>
  <c r="AQ114" i="24"/>
  <c r="AQ126" i="24"/>
  <c r="AQ10" i="24"/>
  <c r="AQ22" i="24"/>
  <c r="AQ34" i="24"/>
  <c r="AQ46" i="24"/>
  <c r="AQ58" i="24"/>
  <c r="AQ70" i="24"/>
  <c r="AQ82" i="24"/>
  <c r="AQ94" i="24"/>
  <c r="AQ106" i="24"/>
  <c r="AQ118" i="24"/>
  <c r="AQ130" i="24"/>
  <c r="AQ23" i="24"/>
  <c r="AQ39" i="24"/>
  <c r="AQ59" i="24"/>
  <c r="AQ75" i="24"/>
  <c r="AQ95" i="24"/>
  <c r="AQ111" i="24"/>
  <c r="AQ131" i="24"/>
  <c r="AQ7" i="24"/>
  <c r="AQ24" i="24"/>
  <c r="AQ43" i="24"/>
  <c r="AQ60" i="24"/>
  <c r="AQ79" i="24"/>
  <c r="AQ96" i="24"/>
  <c r="AQ115" i="24"/>
  <c r="AQ132" i="24"/>
  <c r="AQ11" i="24"/>
  <c r="AQ27" i="24"/>
  <c r="AQ47" i="24"/>
  <c r="AQ63" i="24"/>
  <c r="AQ83" i="24"/>
  <c r="AQ99" i="24"/>
  <c r="AQ119" i="24"/>
  <c r="AQ135" i="24"/>
  <c r="AQ12" i="24"/>
  <c r="AQ31" i="24"/>
  <c r="AQ48" i="24"/>
  <c r="AQ67" i="24"/>
  <c r="AQ84" i="24"/>
  <c r="AQ103" i="24"/>
  <c r="AQ120" i="24"/>
  <c r="AQ13" i="24"/>
  <c r="AQ32" i="24"/>
  <c r="AQ49" i="24"/>
  <c r="AQ68" i="24"/>
  <c r="AQ85" i="24"/>
  <c r="AQ104" i="24"/>
  <c r="AQ121" i="24"/>
  <c r="AQ20" i="24"/>
  <c r="AQ37" i="24"/>
  <c r="AQ56" i="24"/>
  <c r="AQ73" i="24"/>
  <c r="AQ92" i="24"/>
  <c r="AQ109" i="24"/>
  <c r="AQ128" i="24"/>
  <c r="AQ14" i="24"/>
  <c r="AQ50" i="24"/>
  <c r="AQ86" i="24"/>
  <c r="AQ122" i="24"/>
  <c r="AQ127" i="24"/>
  <c r="AQ15" i="24"/>
  <c r="AQ51" i="24"/>
  <c r="AQ87" i="24"/>
  <c r="AQ123" i="24"/>
  <c r="AQ19" i="24"/>
  <c r="AQ91" i="24"/>
  <c r="AQ21" i="24"/>
  <c r="AQ57" i="24"/>
  <c r="AQ93" i="24"/>
  <c r="AQ129" i="24"/>
  <c r="AQ25" i="24"/>
  <c r="AQ61" i="24"/>
  <c r="AQ97" i="24"/>
  <c r="AQ133" i="24"/>
  <c r="AQ26" i="24"/>
  <c r="AQ62" i="24"/>
  <c r="AQ98" i="24"/>
  <c r="AQ134" i="24"/>
  <c r="AQ36" i="24"/>
  <c r="AQ38" i="24"/>
  <c r="AQ33" i="24"/>
  <c r="AQ69" i="24"/>
  <c r="AQ105" i="24"/>
  <c r="AQ110" i="24"/>
  <c r="AQ35" i="24"/>
  <c r="AQ71" i="24"/>
  <c r="AQ107" i="24"/>
  <c r="AQ72" i="24"/>
  <c r="AQ108" i="24"/>
  <c r="AQ74" i="24"/>
  <c r="AQ8" i="24"/>
  <c r="AQ44" i="24"/>
  <c r="AQ80" i="24"/>
  <c r="AQ116" i="24"/>
  <c r="AQ9" i="24"/>
  <c r="AQ45" i="24"/>
  <c r="AQ81" i="24"/>
  <c r="AQ117" i="24"/>
  <c r="AQ55" i="24"/>
  <c r="AN98" i="24"/>
  <c r="AN10" i="24"/>
  <c r="BB9" i="24"/>
  <c r="BB21" i="24"/>
  <c r="BB33" i="24"/>
  <c r="BB45" i="24"/>
  <c r="BB57" i="24"/>
  <c r="BB69" i="24"/>
  <c r="BB81" i="24"/>
  <c r="BB93" i="24"/>
  <c r="BB105" i="24"/>
  <c r="BB117" i="24"/>
  <c r="BB129" i="24"/>
  <c r="BB10" i="24"/>
  <c r="BB22" i="24"/>
  <c r="BB34" i="24"/>
  <c r="BB46" i="24"/>
  <c r="BB58" i="24"/>
  <c r="BB70" i="24"/>
  <c r="BB82" i="24"/>
  <c r="BB94" i="24"/>
  <c r="BB106" i="24"/>
  <c r="BB118" i="24"/>
  <c r="BB130" i="24"/>
  <c r="BB11" i="24"/>
  <c r="BB23" i="24"/>
  <c r="BB35" i="24"/>
  <c r="BB47" i="24"/>
  <c r="BB59" i="24"/>
  <c r="BB71" i="24"/>
  <c r="BB83" i="24"/>
  <c r="BB95" i="24"/>
  <c r="BB107" i="24"/>
  <c r="BB119" i="24"/>
  <c r="BB131" i="24"/>
  <c r="BB13" i="24"/>
  <c r="BB25" i="24"/>
  <c r="BB37" i="24"/>
  <c r="BB49" i="24"/>
  <c r="BB61" i="24"/>
  <c r="BB73" i="24"/>
  <c r="BB85" i="24"/>
  <c r="BB97" i="24"/>
  <c r="BB109" i="24"/>
  <c r="BB6" i="24"/>
  <c r="BB26" i="24"/>
  <c r="BB42" i="24"/>
  <c r="BB62" i="24"/>
  <c r="BB78" i="24"/>
  <c r="BB98" i="24"/>
  <c r="BB114" i="24"/>
  <c r="BB132" i="24"/>
  <c r="BB7" i="24"/>
  <c r="BB27" i="24"/>
  <c r="BB43" i="24"/>
  <c r="BB63" i="24"/>
  <c r="BB79" i="24"/>
  <c r="BB99" i="24"/>
  <c r="BB115" i="24"/>
  <c r="BB133" i="24"/>
  <c r="BB15" i="24"/>
  <c r="BB31" i="24"/>
  <c r="BB51" i="24"/>
  <c r="BB67" i="24"/>
  <c r="BB87" i="24"/>
  <c r="BB103" i="24"/>
  <c r="BB122" i="24"/>
  <c r="BB4" i="24"/>
  <c r="BB16" i="24"/>
  <c r="BB32" i="24"/>
  <c r="BB52" i="24"/>
  <c r="BB68" i="24"/>
  <c r="BB88" i="24"/>
  <c r="BB104" i="24"/>
  <c r="BB123" i="24"/>
  <c r="BB20" i="24"/>
  <c r="BB40" i="24"/>
  <c r="BB56" i="24"/>
  <c r="BB76" i="24"/>
  <c r="BB92" i="24"/>
  <c r="BB112" i="24"/>
  <c r="BB127" i="24"/>
  <c r="BB12" i="24"/>
  <c r="BB18" i="24"/>
  <c r="BB50" i="24"/>
  <c r="BB80" i="24"/>
  <c r="BB111" i="24"/>
  <c r="BB19" i="24"/>
  <c r="BB53" i="24"/>
  <c r="BB84" i="24"/>
  <c r="BB113" i="24"/>
  <c r="BB24" i="24"/>
  <c r="BB54" i="24"/>
  <c r="BB86" i="24"/>
  <c r="BB116" i="24"/>
  <c r="BB36" i="24"/>
  <c r="BB65" i="24"/>
  <c r="BB96" i="24"/>
  <c r="BB125" i="24"/>
  <c r="BB5" i="24"/>
  <c r="BB55" i="24"/>
  <c r="BB101" i="24"/>
  <c r="BB28" i="24"/>
  <c r="BB72" i="24"/>
  <c r="BB120" i="24"/>
  <c r="BB29" i="24"/>
  <c r="BB74" i="24"/>
  <c r="BB121" i="24"/>
  <c r="BB30" i="24"/>
  <c r="BB75" i="24"/>
  <c r="BB124" i="24"/>
  <c r="BB44" i="24"/>
  <c r="BB91" i="24"/>
  <c r="BB135" i="24"/>
  <c r="BB8" i="24"/>
  <c r="BB90" i="24"/>
  <c r="BB14" i="24"/>
  <c r="BB100" i="24"/>
  <c r="BB17" i="24"/>
  <c r="BB102" i="24"/>
  <c r="BB38" i="24"/>
  <c r="BB108" i="24"/>
  <c r="BB39" i="24"/>
  <c r="BB110" i="24"/>
  <c r="BB41" i="24"/>
  <c r="BB126" i="24"/>
  <c r="BB48" i="24"/>
  <c r="BB128" i="24"/>
  <c r="BB77" i="24"/>
  <c r="BB134" i="24"/>
  <c r="BB136" i="24"/>
  <c r="BB60" i="24"/>
  <c r="BB64" i="24"/>
  <c r="BB66" i="24"/>
  <c r="BB89" i="24"/>
  <c r="M10" i="24"/>
  <c r="M85" i="24" s="1"/>
  <c r="M21" i="24"/>
  <c r="M96" i="24" s="1"/>
  <c r="I24" i="25"/>
  <c r="O101" i="25"/>
  <c r="O90" i="25"/>
  <c r="O130" i="25"/>
  <c r="O27" i="25"/>
  <c r="O73" i="25"/>
  <c r="O34" i="25"/>
  <c r="M8" i="24"/>
  <c r="M83" i="24" s="1"/>
  <c r="M11" i="24"/>
  <c r="M86" i="24" s="1"/>
  <c r="F28" i="25"/>
  <c r="F15" i="25"/>
  <c r="K58" i="25"/>
  <c r="K17" i="25"/>
  <c r="K53" i="25"/>
  <c r="M13" i="24"/>
  <c r="M88" i="24" s="1"/>
  <c r="M19" i="24"/>
  <c r="M94" i="24" s="1"/>
  <c r="P29" i="25"/>
  <c r="P30" i="25"/>
  <c r="P103" i="25"/>
  <c r="P60" i="25"/>
  <c r="P86" i="25"/>
  <c r="P128" i="25"/>
  <c r="P109" i="25"/>
  <c r="P57" i="25"/>
  <c r="P93" i="25"/>
  <c r="P131" i="25"/>
  <c r="M15" i="24"/>
  <c r="M90" i="24" s="1"/>
  <c r="M14" i="24"/>
  <c r="M89" i="24" s="1"/>
  <c r="CB73" i="24"/>
  <c r="CB64" i="24"/>
  <c r="CB57" i="24"/>
  <c r="CB23" i="24"/>
  <c r="CB17" i="24"/>
  <c r="CB83" i="24"/>
  <c r="CB67" i="24"/>
  <c r="CB13" i="24"/>
  <c r="CB27" i="24"/>
  <c r="CB12" i="24"/>
  <c r="CB59" i="24"/>
  <c r="CB15" i="24"/>
  <c r="CB7" i="24"/>
  <c r="CB8" i="24"/>
  <c r="CC138" i="24"/>
  <c r="CD4" i="24"/>
  <c r="CD138" i="24" s="1"/>
  <c r="BZ45" i="24"/>
  <c r="CA45" i="24" s="1"/>
  <c r="BZ4" i="24"/>
  <c r="CA4" i="24" s="1"/>
  <c r="C23" i="24"/>
  <c r="C30" i="24" s="1"/>
  <c r="AN108" i="24" l="1"/>
  <c r="AN49" i="24"/>
  <c r="BZ68" i="24"/>
  <c r="CA68" i="24" s="1"/>
  <c r="BZ113" i="24"/>
  <c r="CA113" i="24" s="1"/>
  <c r="BZ121" i="24"/>
  <c r="CA121" i="24" s="1"/>
  <c r="BZ117" i="24"/>
  <c r="CA117" i="24" s="1"/>
  <c r="AN20" i="24"/>
  <c r="BZ56" i="24"/>
  <c r="CA56" i="24" s="1"/>
  <c r="AH77" i="25"/>
  <c r="BZ106" i="24"/>
  <c r="CA106" i="24" s="1"/>
  <c r="AN14" i="24"/>
  <c r="BR59" i="24"/>
  <c r="AZ59" i="25" s="1"/>
  <c r="AN28" i="24"/>
  <c r="AN37" i="24"/>
  <c r="BZ98" i="24"/>
  <c r="CA98" i="24" s="1"/>
  <c r="AN6" i="24"/>
  <c r="BZ58" i="24"/>
  <c r="CA58" i="24" s="1"/>
  <c r="BS111" i="24"/>
  <c r="BA111" i="25" s="1"/>
  <c r="BZ61" i="24"/>
  <c r="CA61" i="24" s="1"/>
  <c r="AN18" i="24"/>
  <c r="BZ16" i="24"/>
  <c r="CA16" i="24" s="1"/>
  <c r="AN119" i="24"/>
  <c r="BZ74" i="24"/>
  <c r="CA74" i="24" s="1"/>
  <c r="AN36" i="24"/>
  <c r="V36" i="25" s="1"/>
  <c r="AN127" i="24"/>
  <c r="AN16" i="24"/>
  <c r="AN25" i="24"/>
  <c r="BZ76" i="24"/>
  <c r="CA76" i="24" s="1"/>
  <c r="BZ17" i="24"/>
  <c r="CA17" i="24" s="1"/>
  <c r="BZ40" i="24"/>
  <c r="CA40" i="24" s="1"/>
  <c r="BZ133" i="24"/>
  <c r="CA133" i="24" s="1"/>
  <c r="BZ95" i="24"/>
  <c r="CA95" i="24" s="1"/>
  <c r="AN5" i="24"/>
  <c r="AN134" i="24"/>
  <c r="BG134" i="24" s="1"/>
  <c r="AO134" i="25" s="1"/>
  <c r="AN86" i="24"/>
  <c r="AN129" i="24"/>
  <c r="AN103" i="24"/>
  <c r="M6" i="24"/>
  <c r="M81" i="24" s="1"/>
  <c r="BZ6" i="24"/>
  <c r="CA6" i="24" s="1"/>
  <c r="BZ13" i="24"/>
  <c r="CA13" i="24" s="1"/>
  <c r="BZ129" i="24"/>
  <c r="CA129" i="24" s="1"/>
  <c r="BZ87" i="24"/>
  <c r="CA87" i="24" s="1"/>
  <c r="AN35" i="24"/>
  <c r="AN65" i="24"/>
  <c r="AN91" i="24"/>
  <c r="AG57" i="25"/>
  <c r="BR57" i="24"/>
  <c r="AZ57" i="25" s="1"/>
  <c r="BZ73" i="24"/>
  <c r="CA73" i="24" s="1"/>
  <c r="BZ37" i="24"/>
  <c r="CA37" i="24" s="1"/>
  <c r="BZ33" i="24"/>
  <c r="CA33" i="24" s="1"/>
  <c r="BZ83" i="24"/>
  <c r="CA83" i="24" s="1"/>
  <c r="BZ59" i="24"/>
  <c r="CA59" i="24" s="1"/>
  <c r="BZ127" i="24"/>
  <c r="CA127" i="24" s="1"/>
  <c r="AN47" i="24"/>
  <c r="AN12" i="24"/>
  <c r="BG12" i="24" s="1"/>
  <c r="AO12" i="25" s="1"/>
  <c r="AN9" i="24"/>
  <c r="AN46" i="24"/>
  <c r="AN105" i="24"/>
  <c r="V105" i="25" s="1"/>
  <c r="AN79" i="24"/>
  <c r="AH59" i="25"/>
  <c r="BS59" i="24"/>
  <c r="BA59" i="25" s="1"/>
  <c r="BZ88" i="24"/>
  <c r="CA88" i="24" s="1"/>
  <c r="BZ86" i="24"/>
  <c r="CA86" i="24" s="1"/>
  <c r="BZ131" i="24"/>
  <c r="CA131" i="24" s="1"/>
  <c r="BZ66" i="24"/>
  <c r="CA66" i="24" s="1"/>
  <c r="BZ75" i="24"/>
  <c r="CA75" i="24" s="1"/>
  <c r="BZ135" i="24"/>
  <c r="CA135" i="24" s="1"/>
  <c r="AN102" i="24"/>
  <c r="AN120" i="24"/>
  <c r="AN132" i="24"/>
  <c r="V132" i="25" s="1"/>
  <c r="AN125" i="24"/>
  <c r="AN93" i="24"/>
  <c r="AN133" i="24"/>
  <c r="AN111" i="24"/>
  <c r="AN104" i="24"/>
  <c r="AN123" i="24"/>
  <c r="AN116" i="24"/>
  <c r="AN121" i="24"/>
  <c r="AN48" i="24"/>
  <c r="AN100" i="24"/>
  <c r="AN77" i="24"/>
  <c r="BZ103" i="24"/>
  <c r="CA103" i="24" s="1"/>
  <c r="BZ35" i="24"/>
  <c r="CA35" i="24" s="1"/>
  <c r="BZ8" i="24"/>
  <c r="CA8" i="24" s="1"/>
  <c r="BZ15" i="24"/>
  <c r="CA15" i="24" s="1"/>
  <c r="BZ110" i="24"/>
  <c r="CA110" i="24" s="1"/>
  <c r="BZ120" i="24"/>
  <c r="CA120" i="24" s="1"/>
  <c r="AN41" i="24"/>
  <c r="AN58" i="24"/>
  <c r="AN50" i="24"/>
  <c r="AN42" i="24"/>
  <c r="V42" i="25" s="1"/>
  <c r="AN7" i="24"/>
  <c r="AN75" i="24"/>
  <c r="BZ55" i="24"/>
  <c r="CA55" i="24" s="1"/>
  <c r="BZ125" i="24"/>
  <c r="CA125" i="24" s="1"/>
  <c r="AN126" i="24"/>
  <c r="BZ48" i="24"/>
  <c r="CA48" i="24" s="1"/>
  <c r="BZ57" i="24"/>
  <c r="CA57" i="24" s="1"/>
  <c r="BZ28" i="24"/>
  <c r="CA28" i="24" s="1"/>
  <c r="BZ67" i="24"/>
  <c r="CA67" i="24" s="1"/>
  <c r="BZ34" i="24"/>
  <c r="CA34" i="24" s="1"/>
  <c r="BZ119" i="24"/>
  <c r="CA119" i="24" s="1"/>
  <c r="AN130" i="24"/>
  <c r="AN113" i="24"/>
  <c r="AN117" i="24"/>
  <c r="BZ104" i="24"/>
  <c r="CA104" i="24" s="1"/>
  <c r="BZ94" i="24"/>
  <c r="CA94" i="24" s="1"/>
  <c r="BZ29" i="24"/>
  <c r="CA29" i="24" s="1"/>
  <c r="BZ69" i="24"/>
  <c r="CA69" i="24" s="1"/>
  <c r="BZ52" i="24"/>
  <c r="CA52" i="24" s="1"/>
  <c r="AN83" i="24"/>
  <c r="AN17" i="24"/>
  <c r="AN112" i="24"/>
  <c r="AN106" i="24"/>
  <c r="AN33" i="24"/>
  <c r="BG33" i="24" s="1"/>
  <c r="AO33" i="25" s="1"/>
  <c r="AN135" i="24"/>
  <c r="BZ112" i="24"/>
  <c r="CA112" i="24" s="1"/>
  <c r="BZ118" i="24"/>
  <c r="CA118" i="24" s="1"/>
  <c r="BZ41" i="24"/>
  <c r="CA41" i="24" s="1"/>
  <c r="BZ82" i="24"/>
  <c r="CA82" i="24" s="1"/>
  <c r="BZ62" i="24"/>
  <c r="CA62" i="24" s="1"/>
  <c r="BZ116" i="24"/>
  <c r="CA116" i="24" s="1"/>
  <c r="AN62" i="24"/>
  <c r="AN4" i="24"/>
  <c r="AN71" i="24"/>
  <c r="AN84" i="24"/>
  <c r="AN21" i="24"/>
  <c r="BG21" i="24" s="1"/>
  <c r="AO21" i="25" s="1"/>
  <c r="AN87" i="24"/>
  <c r="BZ128" i="24"/>
  <c r="CA128" i="24" s="1"/>
  <c r="BZ126" i="24"/>
  <c r="CA126" i="24" s="1"/>
  <c r="BZ42" i="24"/>
  <c r="CA42" i="24" s="1"/>
  <c r="BZ21" i="24"/>
  <c r="CA21" i="24" s="1"/>
  <c r="BZ65" i="24"/>
  <c r="CA65" i="24" s="1"/>
  <c r="BZ124" i="24"/>
  <c r="CA124" i="24" s="1"/>
  <c r="BZ70" i="24"/>
  <c r="CA70" i="24" s="1"/>
  <c r="BZ134" i="24"/>
  <c r="CA134" i="24" s="1"/>
  <c r="BZ50" i="24"/>
  <c r="CA50" i="24" s="1"/>
  <c r="BZ22" i="24"/>
  <c r="CA22" i="24" s="1"/>
  <c r="BZ81" i="24"/>
  <c r="CA81" i="24" s="1"/>
  <c r="BZ132" i="24"/>
  <c r="CA132" i="24" s="1"/>
  <c r="AN60" i="24"/>
  <c r="AN136" i="24"/>
  <c r="BG136" i="24" s="1"/>
  <c r="AO136" i="25" s="1"/>
  <c r="AN29" i="24"/>
  <c r="AN23" i="24"/>
  <c r="AN92" i="24"/>
  <c r="AN63" i="24"/>
  <c r="BZ5" i="24"/>
  <c r="CA5" i="24" s="1"/>
  <c r="BZ18" i="24"/>
  <c r="CA18" i="24" s="1"/>
  <c r="BZ64" i="24"/>
  <c r="CA64" i="24" s="1"/>
  <c r="BZ47" i="24"/>
  <c r="CA47" i="24" s="1"/>
  <c r="BZ90" i="24"/>
  <c r="CA90" i="24" s="1"/>
  <c r="BZ51" i="24"/>
  <c r="CA51" i="24" s="1"/>
  <c r="AN40" i="24"/>
  <c r="AN34" i="24"/>
  <c r="V34" i="25" s="1"/>
  <c r="AN8" i="24"/>
  <c r="AN109" i="24"/>
  <c r="BG109" i="24" s="1"/>
  <c r="AO109" i="25" s="1"/>
  <c r="AN80" i="24"/>
  <c r="AN51" i="24"/>
  <c r="AG61" i="25"/>
  <c r="BZ96" i="24"/>
  <c r="CA96" i="24" s="1"/>
  <c r="BZ79" i="24"/>
  <c r="CA79" i="24" s="1"/>
  <c r="BZ102" i="24"/>
  <c r="CA102" i="24" s="1"/>
  <c r="BZ12" i="24"/>
  <c r="CA12" i="24" s="1"/>
  <c r="BZ32" i="24"/>
  <c r="CA32" i="24" s="1"/>
  <c r="BZ39" i="24"/>
  <c r="CA39" i="24" s="1"/>
  <c r="BZ85" i="24"/>
  <c r="CA85" i="24" s="1"/>
  <c r="BZ27" i="24"/>
  <c r="CA27" i="24" s="1"/>
  <c r="BZ78" i="24"/>
  <c r="CA78" i="24" s="1"/>
  <c r="BZ111" i="24"/>
  <c r="CA111" i="24" s="1"/>
  <c r="BZ43" i="24"/>
  <c r="CA43" i="24" s="1"/>
  <c r="AN124" i="24"/>
  <c r="V124" i="25" s="1"/>
  <c r="AN38" i="24"/>
  <c r="AN78" i="24"/>
  <c r="AN59" i="24"/>
  <c r="AN90" i="24"/>
  <c r="V90" i="25" s="1"/>
  <c r="AN66" i="24"/>
  <c r="V66" i="25" s="1"/>
  <c r="AN64" i="24"/>
  <c r="V64" i="25" s="1"/>
  <c r="AN11" i="24"/>
  <c r="BG11" i="24" s="1"/>
  <c r="AO11" i="25" s="1"/>
  <c r="AN128" i="24"/>
  <c r="V128" i="25" s="1"/>
  <c r="AN115" i="24"/>
  <c r="V115" i="25" s="1"/>
  <c r="AN99" i="24"/>
  <c r="V99" i="25" s="1"/>
  <c r="BZ99" i="24"/>
  <c r="CA99" i="24" s="1"/>
  <c r="BZ60" i="24"/>
  <c r="CA60" i="24" s="1"/>
  <c r="BZ91" i="24"/>
  <c r="CA91" i="24" s="1"/>
  <c r="BZ80" i="24"/>
  <c r="CA80" i="24" s="1"/>
  <c r="BZ72" i="24"/>
  <c r="CA72" i="24" s="1"/>
  <c r="BZ114" i="24"/>
  <c r="CA114" i="24" s="1"/>
  <c r="BZ77" i="24"/>
  <c r="CA77" i="24" s="1"/>
  <c r="AN94" i="24"/>
  <c r="V94" i="25" s="1"/>
  <c r="AN55" i="24"/>
  <c r="V55" i="25" s="1"/>
  <c r="BZ19" i="24"/>
  <c r="CA19" i="24" s="1"/>
  <c r="AN22" i="24"/>
  <c r="BG22" i="24" s="1"/>
  <c r="AO22" i="25" s="1"/>
  <c r="AN114" i="24"/>
  <c r="V114" i="25" s="1"/>
  <c r="AN131" i="24"/>
  <c r="BG131" i="24" s="1"/>
  <c r="AO131" i="25" s="1"/>
  <c r="AN24" i="24"/>
  <c r="V24" i="25" s="1"/>
  <c r="AN97" i="24"/>
  <c r="AN81" i="24"/>
  <c r="AN39" i="24"/>
  <c r="BZ93" i="24"/>
  <c r="CA93" i="24" s="1"/>
  <c r="AN122" i="24"/>
  <c r="V122" i="25" s="1"/>
  <c r="AN110" i="24"/>
  <c r="V110" i="25" s="1"/>
  <c r="AN43" i="24"/>
  <c r="V43" i="25" s="1"/>
  <c r="BZ136" i="24"/>
  <c r="CA136" i="24" s="1"/>
  <c r="BZ20" i="24"/>
  <c r="CA20" i="24" s="1"/>
  <c r="BZ71" i="24"/>
  <c r="CA71" i="24" s="1"/>
  <c r="BZ10" i="24"/>
  <c r="CA10" i="24" s="1"/>
  <c r="BZ7" i="24"/>
  <c r="CA7" i="24" s="1"/>
  <c r="BZ63" i="24"/>
  <c r="CA63" i="24" s="1"/>
  <c r="L23" i="24"/>
  <c r="L30" i="24" s="1"/>
  <c r="BZ107" i="24"/>
  <c r="CA107" i="24" s="1"/>
  <c r="BZ89" i="24"/>
  <c r="CA89" i="24" s="1"/>
  <c r="BZ24" i="24"/>
  <c r="CA24" i="24" s="1"/>
  <c r="BZ23" i="24"/>
  <c r="CA23" i="24" s="1"/>
  <c r="BZ122" i="24"/>
  <c r="CA122" i="24" s="1"/>
  <c r="BZ92" i="24"/>
  <c r="CA92" i="24" s="1"/>
  <c r="BZ44" i="24"/>
  <c r="CA44" i="24" s="1"/>
  <c r="AN96" i="24"/>
  <c r="V96" i="25" s="1"/>
  <c r="AN95" i="24"/>
  <c r="BG95" i="24" s="1"/>
  <c r="AO95" i="25" s="1"/>
  <c r="AN72" i="24"/>
  <c r="BG72" i="24" s="1"/>
  <c r="AO72" i="25" s="1"/>
  <c r="AN88" i="24"/>
  <c r="AN85" i="24"/>
  <c r="AN69" i="24"/>
  <c r="AN56" i="24"/>
  <c r="AN27" i="24"/>
  <c r="V27" i="25" s="1"/>
  <c r="BZ26" i="24"/>
  <c r="CA26" i="24" s="1"/>
  <c r="BZ9" i="24"/>
  <c r="CA9" i="24" s="1"/>
  <c r="BZ54" i="24"/>
  <c r="CA54" i="24" s="1"/>
  <c r="BZ49" i="24"/>
  <c r="CA49" i="24" s="1"/>
  <c r="BZ115" i="24"/>
  <c r="CA115" i="24" s="1"/>
  <c r="BZ97" i="24"/>
  <c r="CA97" i="24" s="1"/>
  <c r="BZ36" i="24"/>
  <c r="CA36" i="24" s="1"/>
  <c r="BZ101" i="24"/>
  <c r="CA101" i="24" s="1"/>
  <c r="BZ30" i="24"/>
  <c r="CA30" i="24" s="1"/>
  <c r="BZ130" i="24"/>
  <c r="CA130" i="24" s="1"/>
  <c r="BZ100" i="24"/>
  <c r="CA100" i="24" s="1"/>
  <c r="AN101" i="24"/>
  <c r="BG101" i="24" s="1"/>
  <c r="AO101" i="25" s="1"/>
  <c r="AN76" i="24"/>
  <c r="V76" i="25" s="1"/>
  <c r="AN74" i="24"/>
  <c r="BG74" i="24" s="1"/>
  <c r="AO74" i="25" s="1"/>
  <c r="AN52" i="24"/>
  <c r="V52" i="25" s="1"/>
  <c r="AN89" i="24"/>
  <c r="V89" i="25" s="1"/>
  <c r="AN26" i="24"/>
  <c r="V26" i="25" s="1"/>
  <c r="AN73" i="24"/>
  <c r="V73" i="25" s="1"/>
  <c r="AN57" i="24"/>
  <c r="BG57" i="24" s="1"/>
  <c r="AO57" i="25" s="1"/>
  <c r="AN44" i="24"/>
  <c r="AN31" i="24"/>
  <c r="BG31" i="24" s="1"/>
  <c r="AO31" i="25" s="1"/>
  <c r="AN13" i="24"/>
  <c r="BZ11" i="24"/>
  <c r="CA11" i="24" s="1"/>
  <c r="AN118" i="24"/>
  <c r="AN68" i="24"/>
  <c r="V68" i="25" s="1"/>
  <c r="BZ38" i="24"/>
  <c r="CA38" i="24" s="1"/>
  <c r="BZ31" i="24"/>
  <c r="CA31" i="24" s="1"/>
  <c r="BZ25" i="24"/>
  <c r="CA25" i="24" s="1"/>
  <c r="BZ14" i="24"/>
  <c r="CA14" i="24" s="1"/>
  <c r="BZ123" i="24"/>
  <c r="CA123" i="24" s="1"/>
  <c r="BZ105" i="24"/>
  <c r="CA105" i="24" s="1"/>
  <c r="BZ53" i="24"/>
  <c r="CA53" i="24" s="1"/>
  <c r="BZ109" i="24"/>
  <c r="CA109" i="24" s="1"/>
  <c r="BZ46" i="24"/>
  <c r="CA46" i="24" s="1"/>
  <c r="BZ84" i="24"/>
  <c r="CA84" i="24" s="1"/>
  <c r="BZ108" i="24"/>
  <c r="CA108" i="24" s="1"/>
  <c r="AN82" i="24"/>
  <c r="AN54" i="24"/>
  <c r="BG54" i="24" s="1"/>
  <c r="AO54" i="25" s="1"/>
  <c r="AN53" i="24"/>
  <c r="V53" i="25" s="1"/>
  <c r="AN30" i="24"/>
  <c r="V30" i="25" s="1"/>
  <c r="AN70" i="24"/>
  <c r="V70" i="25" s="1"/>
  <c r="AN107" i="24"/>
  <c r="BG107" i="24" s="1"/>
  <c r="AO107" i="25" s="1"/>
  <c r="AN61" i="24"/>
  <c r="V61" i="25" s="1"/>
  <c r="AN45" i="24"/>
  <c r="AN32" i="24"/>
  <c r="BG32" i="24" s="1"/>
  <c r="AO32" i="25" s="1"/>
  <c r="AN19" i="24"/>
  <c r="AN15" i="24"/>
  <c r="BR128" i="24"/>
  <c r="AZ128" i="25" s="1"/>
  <c r="AG125" i="25"/>
  <c r="BV110" i="24"/>
  <c r="BD110" i="25" s="1"/>
  <c r="BV42" i="24"/>
  <c r="BD42" i="25" s="1"/>
  <c r="AK81" i="25"/>
  <c r="BS13" i="24"/>
  <c r="BA13" i="25" s="1"/>
  <c r="BR99" i="24"/>
  <c r="AZ99" i="25" s="1"/>
  <c r="BR102" i="24"/>
  <c r="AZ102" i="25" s="1"/>
  <c r="AL125" i="25"/>
  <c r="AH38" i="25"/>
  <c r="AG47" i="25"/>
  <c r="AL46" i="25"/>
  <c r="BS75" i="24"/>
  <c r="BA75" i="25" s="1"/>
  <c r="AI133" i="25"/>
  <c r="H81" i="24"/>
  <c r="D83" i="24"/>
  <c r="H83" i="24" s="1"/>
  <c r="AI21" i="25"/>
  <c r="BV63" i="24"/>
  <c r="BD63" i="25" s="1"/>
  <c r="AK66" i="25"/>
  <c r="AI102" i="25"/>
  <c r="AG23" i="25"/>
  <c r="BV131" i="24"/>
  <c r="BD131" i="25" s="1"/>
  <c r="BR77" i="24"/>
  <c r="AZ77" i="25" s="1"/>
  <c r="BV87" i="24"/>
  <c r="BD87" i="25" s="1"/>
  <c r="BT100" i="24"/>
  <c r="BB100" i="25" s="1"/>
  <c r="BT93" i="24"/>
  <c r="BB93" i="25" s="1"/>
  <c r="AL73" i="25"/>
  <c r="AH72" i="25"/>
  <c r="AG134" i="25"/>
  <c r="AI27" i="25"/>
  <c r="AI117" i="25"/>
  <c r="BV76" i="24"/>
  <c r="BD76" i="25" s="1"/>
  <c r="BS97" i="24"/>
  <c r="BA97" i="25" s="1"/>
  <c r="BS90" i="24"/>
  <c r="BA90" i="25" s="1"/>
  <c r="BS71" i="24"/>
  <c r="BA71" i="25" s="1"/>
  <c r="AG22" i="25"/>
  <c r="BS83" i="24"/>
  <c r="BA83" i="25" s="1"/>
  <c r="BR81" i="24"/>
  <c r="AZ81" i="25" s="1"/>
  <c r="BR79" i="24"/>
  <c r="AZ79" i="25" s="1"/>
  <c r="BR14" i="24"/>
  <c r="AZ14" i="25" s="1"/>
  <c r="BR86" i="24"/>
  <c r="AZ86" i="25" s="1"/>
  <c r="AL88" i="25"/>
  <c r="BR116" i="24"/>
  <c r="AZ116" i="25" s="1"/>
  <c r="AH39" i="25"/>
  <c r="BT40" i="24"/>
  <c r="BB40" i="25" s="1"/>
  <c r="AL124" i="25"/>
  <c r="AG92" i="25"/>
  <c r="BR110" i="24"/>
  <c r="AZ110" i="25" s="1"/>
  <c r="BR31" i="24"/>
  <c r="AZ31" i="25" s="1"/>
  <c r="BR130" i="24"/>
  <c r="AZ130" i="25" s="1"/>
  <c r="BT122" i="24"/>
  <c r="BB122" i="25" s="1"/>
  <c r="BV26" i="24"/>
  <c r="BD26" i="25" s="1"/>
  <c r="AH20" i="25"/>
  <c r="BT46" i="24"/>
  <c r="BB46" i="25" s="1"/>
  <c r="AK96" i="25"/>
  <c r="BV68" i="24"/>
  <c r="BD68" i="25" s="1"/>
  <c r="AI95" i="25"/>
  <c r="AI125" i="25"/>
  <c r="BT99" i="24"/>
  <c r="BB99" i="25" s="1"/>
  <c r="AH119" i="25"/>
  <c r="AK108" i="25"/>
  <c r="AH53" i="25"/>
  <c r="AI67" i="25"/>
  <c r="BI6" i="24"/>
  <c r="AQ6" i="25" s="1"/>
  <c r="AI74" i="25"/>
  <c r="AI65" i="25"/>
  <c r="AI39" i="25"/>
  <c r="BT128" i="24"/>
  <c r="BB128" i="25" s="1"/>
  <c r="BT108" i="24"/>
  <c r="BB108" i="25" s="1"/>
  <c r="BT29" i="24"/>
  <c r="BB29" i="25" s="1"/>
  <c r="AI66" i="25"/>
  <c r="AC129" i="25"/>
  <c r="X128" i="25"/>
  <c r="AL83" i="25"/>
  <c r="BT129" i="24"/>
  <c r="BB129" i="25" s="1"/>
  <c r="BR12" i="24"/>
  <c r="AZ12" i="25" s="1"/>
  <c r="AG12" i="25"/>
  <c r="AI113" i="25"/>
  <c r="BT113" i="24"/>
  <c r="BB113" i="25" s="1"/>
  <c r="BV53" i="24"/>
  <c r="BD53" i="25" s="1"/>
  <c r="BT53" i="24"/>
  <c r="BB53" i="25" s="1"/>
  <c r="AI123" i="25"/>
  <c r="AH81" i="25"/>
  <c r="BS81" i="24"/>
  <c r="BA81" i="25" s="1"/>
  <c r="AI121" i="25"/>
  <c r="BT121" i="24"/>
  <c r="BB121" i="25" s="1"/>
  <c r="AI91" i="25"/>
  <c r="BT91" i="24"/>
  <c r="BB91" i="25" s="1"/>
  <c r="AI38" i="25"/>
  <c r="BT38" i="24"/>
  <c r="BB38" i="25" s="1"/>
  <c r="BI10" i="24"/>
  <c r="AQ10" i="25" s="1"/>
  <c r="X10" i="25"/>
  <c r="X69" i="25"/>
  <c r="BI69" i="24"/>
  <c r="AQ69" i="25" s="1"/>
  <c r="C16" i="23"/>
  <c r="BV41" i="24"/>
  <c r="BD41" i="25" s="1"/>
  <c r="BT109" i="24"/>
  <c r="BB109" i="25" s="1"/>
  <c r="AI109" i="25"/>
  <c r="BT35" i="24"/>
  <c r="BB35" i="25" s="1"/>
  <c r="AI35" i="25"/>
  <c r="BT116" i="24"/>
  <c r="BB116" i="25" s="1"/>
  <c r="AI116" i="25"/>
  <c r="AI49" i="25"/>
  <c r="BR114" i="24"/>
  <c r="AZ114" i="25" s="1"/>
  <c r="AI72" i="25"/>
  <c r="BT71" i="24"/>
  <c r="BB71" i="25" s="1"/>
  <c r="BS74" i="24"/>
  <c r="BA74" i="25" s="1"/>
  <c r="AH74" i="25"/>
  <c r="AI18" i="25"/>
  <c r="BW129" i="24"/>
  <c r="BE129" i="25" s="1"/>
  <c r="AL129" i="25"/>
  <c r="AG49" i="25"/>
  <c r="BR49" i="24"/>
  <c r="AZ49" i="25" s="1"/>
  <c r="AL4" i="25"/>
  <c r="BV99" i="24"/>
  <c r="BD99" i="25" s="1"/>
  <c r="BS124" i="24"/>
  <c r="BA124" i="25" s="1"/>
  <c r="BS106" i="24"/>
  <c r="BA106" i="25" s="1"/>
  <c r="AK83" i="25"/>
  <c r="AI50" i="25"/>
  <c r="BV106" i="24"/>
  <c r="BD106" i="25" s="1"/>
  <c r="AG111" i="25"/>
  <c r="AG25" i="25"/>
  <c r="N16" i="24"/>
  <c r="N18" i="24" s="1"/>
  <c r="N21" i="24" s="1"/>
  <c r="AL30" i="25"/>
  <c r="BS76" i="24"/>
  <c r="BA76" i="25" s="1"/>
  <c r="BT120" i="24"/>
  <c r="BB120" i="25" s="1"/>
  <c r="AL133" i="25"/>
  <c r="BR136" i="24"/>
  <c r="AZ136" i="25" s="1"/>
  <c r="BR26" i="24"/>
  <c r="AZ26" i="25" s="1"/>
  <c r="AH36" i="25"/>
  <c r="BR135" i="24"/>
  <c r="AZ135" i="25" s="1"/>
  <c r="AK92" i="25"/>
  <c r="BN99" i="24"/>
  <c r="AV99" i="25" s="1"/>
  <c r="AI64" i="25"/>
  <c r="BV88" i="24"/>
  <c r="BD88" i="25" s="1"/>
  <c r="BR9" i="24"/>
  <c r="AZ9" i="25" s="1"/>
  <c r="AI104" i="25"/>
  <c r="BS24" i="24"/>
  <c r="BA24" i="25" s="1"/>
  <c r="AL76" i="25"/>
  <c r="AL99" i="25"/>
  <c r="AL48" i="25"/>
  <c r="AL61" i="25"/>
  <c r="BR65" i="24"/>
  <c r="AZ65" i="25" s="1"/>
  <c r="AK49" i="25"/>
  <c r="AG72" i="25"/>
  <c r="BI41" i="24"/>
  <c r="AQ41" i="25" s="1"/>
  <c r="AC30" i="25"/>
  <c r="AL52" i="25"/>
  <c r="BN58" i="24"/>
  <c r="AV58" i="25" s="1"/>
  <c r="AH122" i="25"/>
  <c r="BS27" i="24"/>
  <c r="BA27" i="25" s="1"/>
  <c r="AC54" i="25"/>
  <c r="BV57" i="24"/>
  <c r="BD57" i="25" s="1"/>
  <c r="BS54" i="24"/>
  <c r="BA54" i="25" s="1"/>
  <c r="BR129" i="24"/>
  <c r="AZ129" i="25" s="1"/>
  <c r="BV118" i="24"/>
  <c r="BD118" i="25" s="1"/>
  <c r="AL34" i="25"/>
  <c r="AL113" i="25"/>
  <c r="AL89" i="25"/>
  <c r="BV121" i="24"/>
  <c r="BD121" i="25" s="1"/>
  <c r="AG33" i="25"/>
  <c r="AK80" i="25"/>
  <c r="BT25" i="24"/>
  <c r="BB25" i="25" s="1"/>
  <c r="BR28" i="24"/>
  <c r="AZ28" i="25" s="1"/>
  <c r="AH95" i="25"/>
  <c r="AK38" i="25"/>
  <c r="BT101" i="24"/>
  <c r="BB101" i="25" s="1"/>
  <c r="M34" i="36"/>
  <c r="O34" i="36" s="1"/>
  <c r="BR17" i="24"/>
  <c r="AZ17" i="25" s="1"/>
  <c r="BN94" i="24"/>
  <c r="AV94" i="25" s="1"/>
  <c r="BR34" i="24"/>
  <c r="AZ34" i="25" s="1"/>
  <c r="AL70" i="25"/>
  <c r="BT41" i="24"/>
  <c r="BB41" i="25" s="1"/>
  <c r="BT8" i="24"/>
  <c r="BB8" i="25" s="1"/>
  <c r="BT90" i="24"/>
  <c r="BB90" i="25" s="1"/>
  <c r="BS127" i="24"/>
  <c r="BA127" i="25" s="1"/>
  <c r="BV90" i="24"/>
  <c r="BD90" i="25" s="1"/>
  <c r="BT119" i="24"/>
  <c r="BB119" i="25" s="1"/>
  <c r="BT19" i="24"/>
  <c r="BB19" i="25" s="1"/>
  <c r="BT14" i="24"/>
  <c r="BB14" i="25" s="1"/>
  <c r="BT96" i="24"/>
  <c r="BB96" i="25" s="1"/>
  <c r="BT107" i="24"/>
  <c r="BB107" i="25" s="1"/>
  <c r="BT26" i="24"/>
  <c r="BB26" i="25" s="1"/>
  <c r="AG66" i="25"/>
  <c r="BR41" i="24"/>
  <c r="AZ41" i="25" s="1"/>
  <c r="BT33" i="24"/>
  <c r="BB33" i="25" s="1"/>
  <c r="X75" i="25"/>
  <c r="AG103" i="25"/>
  <c r="AG64" i="25"/>
  <c r="BR4" i="24"/>
  <c r="AZ4" i="25" s="1"/>
  <c r="AG98" i="25"/>
  <c r="AL25" i="25"/>
  <c r="BS5" i="24"/>
  <c r="BA5" i="25" s="1"/>
  <c r="BR74" i="24"/>
  <c r="AZ74" i="25" s="1"/>
  <c r="BI121" i="24"/>
  <c r="AQ121" i="25" s="1"/>
  <c r="AG10" i="25"/>
  <c r="AL119" i="25"/>
  <c r="AL11" i="25"/>
  <c r="AI30" i="25"/>
  <c r="BV50" i="24"/>
  <c r="BD50" i="25" s="1"/>
  <c r="AL15" i="25"/>
  <c r="AL24" i="25"/>
  <c r="AL36" i="25"/>
  <c r="AL90" i="25"/>
  <c r="BV94" i="24"/>
  <c r="BD94" i="25" s="1"/>
  <c r="X95" i="25"/>
  <c r="AG84" i="25"/>
  <c r="AH108" i="25"/>
  <c r="AC39" i="25"/>
  <c r="AH42" i="25"/>
  <c r="BR105" i="24"/>
  <c r="AZ105" i="25" s="1"/>
  <c r="AL23" i="25"/>
  <c r="AL40" i="25"/>
  <c r="AL37" i="25"/>
  <c r="AL49" i="25"/>
  <c r="BV58" i="24"/>
  <c r="BD58" i="25" s="1"/>
  <c r="BS60" i="24"/>
  <c r="BA60" i="25" s="1"/>
  <c r="AI47" i="25"/>
  <c r="BV78" i="24"/>
  <c r="BD78" i="25" s="1"/>
  <c r="BR54" i="24"/>
  <c r="AZ54" i="25" s="1"/>
  <c r="BR63" i="24"/>
  <c r="AZ63" i="25" s="1"/>
  <c r="BV103" i="24"/>
  <c r="BD103" i="25" s="1"/>
  <c r="BT70" i="24"/>
  <c r="BB70" i="25" s="1"/>
  <c r="AI54" i="25"/>
  <c r="AG46" i="25"/>
  <c r="AL100" i="25"/>
  <c r="AL110" i="25"/>
  <c r="AL128" i="25"/>
  <c r="BV61" i="24"/>
  <c r="BD61" i="25" s="1"/>
  <c r="BT114" i="24"/>
  <c r="BB114" i="25" s="1"/>
  <c r="BV9" i="24"/>
  <c r="BD9" i="25" s="1"/>
  <c r="BS30" i="24"/>
  <c r="BA30" i="25" s="1"/>
  <c r="BS50" i="24"/>
  <c r="BA50" i="25" s="1"/>
  <c r="AK62" i="25"/>
  <c r="X134" i="25"/>
  <c r="BR87" i="24"/>
  <c r="AZ87" i="25" s="1"/>
  <c r="AL94" i="25"/>
  <c r="X102" i="25"/>
  <c r="BV11" i="24"/>
  <c r="BD11" i="25" s="1"/>
  <c r="BV116" i="24"/>
  <c r="BD116" i="25" s="1"/>
  <c r="AL87" i="25"/>
  <c r="AL67" i="25"/>
  <c r="BS101" i="24"/>
  <c r="BA101" i="25" s="1"/>
  <c r="BS99" i="24"/>
  <c r="BA99" i="25" s="1"/>
  <c r="BR21" i="24"/>
  <c r="AZ21" i="25" s="1"/>
  <c r="BR69" i="24"/>
  <c r="AZ69" i="25" s="1"/>
  <c r="BI113" i="24"/>
  <c r="AQ113" i="25" s="1"/>
  <c r="BV126" i="24"/>
  <c r="BD126" i="25" s="1"/>
  <c r="AL77" i="25"/>
  <c r="AL107" i="25"/>
  <c r="BT36" i="24"/>
  <c r="BB36" i="25" s="1"/>
  <c r="BS70" i="24"/>
  <c r="BA70" i="25" s="1"/>
  <c r="BR94" i="24"/>
  <c r="AZ94" i="25" s="1"/>
  <c r="AL118" i="25"/>
  <c r="AL75" i="25"/>
  <c r="AI115" i="25"/>
  <c r="BT94" i="24"/>
  <c r="BB94" i="25" s="1"/>
  <c r="C26" i="23"/>
  <c r="BN25" i="24"/>
  <c r="AV25" i="25" s="1"/>
  <c r="BN55" i="24"/>
  <c r="AV55" i="25" s="1"/>
  <c r="BN121" i="24"/>
  <c r="AV121" i="25" s="1"/>
  <c r="BN45" i="24"/>
  <c r="AV45" i="25" s="1"/>
  <c r="AC131" i="25"/>
  <c r="AC6" i="25"/>
  <c r="AC79" i="25"/>
  <c r="BT62" i="24"/>
  <c r="BB62" i="25" s="1"/>
  <c r="BN90" i="24"/>
  <c r="AV90" i="25" s="1"/>
  <c r="BR100" i="24"/>
  <c r="AZ100" i="25" s="1"/>
  <c r="BT34" i="24"/>
  <c r="BB34" i="25" s="1"/>
  <c r="BT86" i="24"/>
  <c r="BB86" i="25" s="1"/>
  <c r="BV56" i="24"/>
  <c r="BD56" i="25" s="1"/>
  <c r="BS123" i="24"/>
  <c r="BA123" i="25" s="1"/>
  <c r="BS33" i="24"/>
  <c r="BA33" i="25" s="1"/>
  <c r="BT58" i="24"/>
  <c r="BB58" i="25" s="1"/>
  <c r="BV20" i="24"/>
  <c r="BD20" i="25" s="1"/>
  <c r="AH66" i="25"/>
  <c r="BS6" i="24"/>
  <c r="BA6" i="25" s="1"/>
  <c r="AL66" i="25"/>
  <c r="AK71" i="25"/>
  <c r="BR132" i="24"/>
  <c r="AZ132" i="25" s="1"/>
  <c r="BR40" i="24"/>
  <c r="AZ40" i="25" s="1"/>
  <c r="BN100" i="24"/>
  <c r="AV100" i="25" s="1"/>
  <c r="BN112" i="24"/>
  <c r="AV112" i="25" s="1"/>
  <c r="BT73" i="24"/>
  <c r="BB73" i="25" s="1"/>
  <c r="AC59" i="25"/>
  <c r="BS28" i="24"/>
  <c r="BA28" i="25" s="1"/>
  <c r="AC10" i="25"/>
  <c r="BV54" i="24"/>
  <c r="BD54" i="25" s="1"/>
  <c r="BT82" i="24"/>
  <c r="BB82" i="25" s="1"/>
  <c r="BV32" i="24"/>
  <c r="BD32" i="25" s="1"/>
  <c r="AI134" i="25"/>
  <c r="AL86" i="25"/>
  <c r="BV84" i="24"/>
  <c r="BD84" i="25" s="1"/>
  <c r="AC70" i="25"/>
  <c r="BV97" i="24"/>
  <c r="BD97" i="25" s="1"/>
  <c r="AK59" i="25"/>
  <c r="AL68" i="25"/>
  <c r="AK85" i="25"/>
  <c r="BV12" i="24"/>
  <c r="BD12" i="25" s="1"/>
  <c r="BV109" i="24"/>
  <c r="BD109" i="25" s="1"/>
  <c r="AG7" i="25"/>
  <c r="AK136" i="25"/>
  <c r="BS73" i="24"/>
  <c r="BA73" i="25" s="1"/>
  <c r="BS15" i="24"/>
  <c r="BA15" i="25" s="1"/>
  <c r="BT57" i="24"/>
  <c r="BB57" i="25" s="1"/>
  <c r="BR70" i="24"/>
  <c r="AZ70" i="25" s="1"/>
  <c r="AL123" i="25"/>
  <c r="BR43" i="24"/>
  <c r="AZ43" i="25" s="1"/>
  <c r="AH64" i="25"/>
  <c r="AK89" i="25"/>
  <c r="AK13" i="25"/>
  <c r="BS88" i="24"/>
  <c r="BA88" i="25" s="1"/>
  <c r="BV65" i="24"/>
  <c r="BD65" i="25" s="1"/>
  <c r="BS91" i="24"/>
  <c r="BA91" i="25" s="1"/>
  <c r="AG133" i="25"/>
  <c r="BV122" i="24"/>
  <c r="BD122" i="25" s="1"/>
  <c r="AL44" i="25"/>
  <c r="BV44" i="24"/>
  <c r="BD44" i="25" s="1"/>
  <c r="BR85" i="24"/>
  <c r="AZ85" i="25" s="1"/>
  <c r="BV102" i="24"/>
  <c r="BD102" i="25" s="1"/>
  <c r="BV112" i="24"/>
  <c r="BD112" i="25" s="1"/>
  <c r="BT55" i="24"/>
  <c r="BB55" i="25" s="1"/>
  <c r="BT13" i="24"/>
  <c r="BB13" i="25" s="1"/>
  <c r="BV69" i="24"/>
  <c r="BD69" i="25" s="1"/>
  <c r="BV8" i="24"/>
  <c r="BD8" i="25" s="1"/>
  <c r="BR118" i="24"/>
  <c r="AZ118" i="25" s="1"/>
  <c r="AI56" i="25"/>
  <c r="BV22" i="24"/>
  <c r="BD22" i="25" s="1"/>
  <c r="BR106" i="24"/>
  <c r="AZ106" i="25" s="1"/>
  <c r="AL117" i="25"/>
  <c r="AL136" i="25"/>
  <c r="X44" i="25"/>
  <c r="AG52" i="25"/>
  <c r="AH112" i="25"/>
  <c r="BR37" i="24"/>
  <c r="AZ37" i="25" s="1"/>
  <c r="AG27" i="25"/>
  <c r="BT32" i="24"/>
  <c r="BB32" i="25" s="1"/>
  <c r="AI44" i="25"/>
  <c r="BV10" i="24"/>
  <c r="BD10" i="25" s="1"/>
  <c r="AC107" i="25"/>
  <c r="AL134" i="25"/>
  <c r="AH25" i="25"/>
  <c r="BR122" i="24"/>
  <c r="AZ122" i="25" s="1"/>
  <c r="BR104" i="24"/>
  <c r="AZ104" i="25" s="1"/>
  <c r="AH21" i="25"/>
  <c r="AI118" i="25"/>
  <c r="BS68" i="24"/>
  <c r="BA68" i="25" s="1"/>
  <c r="BT124" i="24"/>
  <c r="BB124" i="25" s="1"/>
  <c r="AK47" i="25"/>
  <c r="BS103" i="24"/>
  <c r="BA103" i="25" s="1"/>
  <c r="AK115" i="25"/>
  <c r="AH128" i="25"/>
  <c r="AC41" i="25"/>
  <c r="AL108" i="25"/>
  <c r="AG131" i="25"/>
  <c r="AC109" i="25"/>
  <c r="BS40" i="24"/>
  <c r="BA40" i="25" s="1"/>
  <c r="BV101" i="24"/>
  <c r="BD101" i="25" s="1"/>
  <c r="X123" i="25"/>
  <c r="BS79" i="24"/>
  <c r="BA79" i="25" s="1"/>
  <c r="BV17" i="24"/>
  <c r="BD17" i="25" s="1"/>
  <c r="BV18" i="24"/>
  <c r="BD18" i="25" s="1"/>
  <c r="BS105" i="24"/>
  <c r="BA105" i="25" s="1"/>
  <c r="BV37" i="24"/>
  <c r="BD37" i="25" s="1"/>
  <c r="BS34" i="24"/>
  <c r="BA34" i="25" s="1"/>
  <c r="BS58" i="24"/>
  <c r="BA58" i="25" s="1"/>
  <c r="AL5" i="25"/>
  <c r="AL59" i="25"/>
  <c r="BN36" i="24"/>
  <c r="AV36" i="25" s="1"/>
  <c r="BV28" i="24"/>
  <c r="BD28" i="25" s="1"/>
  <c r="AG38" i="25"/>
  <c r="BV123" i="24"/>
  <c r="BD123" i="25" s="1"/>
  <c r="BN72" i="24"/>
  <c r="AV72" i="25" s="1"/>
  <c r="BV27" i="24"/>
  <c r="BD27" i="25" s="1"/>
  <c r="BS65" i="24"/>
  <c r="BA65" i="25" s="1"/>
  <c r="BS89" i="24"/>
  <c r="BA89" i="25" s="1"/>
  <c r="AL72" i="25"/>
  <c r="BS9" i="24"/>
  <c r="BA9" i="25" s="1"/>
  <c r="BR124" i="24"/>
  <c r="AZ124" i="25" s="1"/>
  <c r="AH4" i="25"/>
  <c r="BN43" i="24"/>
  <c r="AV43" i="25" s="1"/>
  <c r="BV67" i="24"/>
  <c r="BD67" i="25" s="1"/>
  <c r="BR71" i="24"/>
  <c r="AZ71" i="25" s="1"/>
  <c r="AC63" i="25"/>
  <c r="BV5" i="24"/>
  <c r="BD5" i="25" s="1"/>
  <c r="AL111" i="25"/>
  <c r="AH57" i="25"/>
  <c r="BV51" i="24"/>
  <c r="BD51" i="25" s="1"/>
  <c r="AI68" i="25"/>
  <c r="BI125" i="24"/>
  <c r="AQ125" i="25" s="1"/>
  <c r="BI112" i="24"/>
  <c r="AQ112" i="25" s="1"/>
  <c r="BR48" i="24"/>
  <c r="AZ48" i="25" s="1"/>
  <c r="AL82" i="25"/>
  <c r="BI126" i="24"/>
  <c r="AQ126" i="25" s="1"/>
  <c r="BT48" i="24"/>
  <c r="BB48" i="25" s="1"/>
  <c r="AI48" i="25"/>
  <c r="AI106" i="25"/>
  <c r="BT106" i="24"/>
  <c r="BB106" i="25" s="1"/>
  <c r="AI69" i="25"/>
  <c r="BT69" i="24"/>
  <c r="BB69" i="25" s="1"/>
  <c r="AI20" i="25"/>
  <c r="BT20" i="24"/>
  <c r="BB20" i="25" s="1"/>
  <c r="AI76" i="25"/>
  <c r="BT76" i="24"/>
  <c r="BB76" i="25" s="1"/>
  <c r="AI112" i="25"/>
  <c r="BT112" i="24"/>
  <c r="BB112" i="25" s="1"/>
  <c r="AI131" i="25"/>
  <c r="BT131" i="24"/>
  <c r="BB131" i="25" s="1"/>
  <c r="AI42" i="25"/>
  <c r="BT42" i="24"/>
  <c r="BB42" i="25" s="1"/>
  <c r="X114" i="25"/>
  <c r="BI114" i="24"/>
  <c r="AQ114" i="25" s="1"/>
  <c r="X22" i="25"/>
  <c r="BI22" i="24"/>
  <c r="AQ22" i="25" s="1"/>
  <c r="X87" i="25"/>
  <c r="BI87" i="24"/>
  <c r="AQ87" i="25" s="1"/>
  <c r="BI8" i="24"/>
  <c r="AQ8" i="25" s="1"/>
  <c r="X8" i="25"/>
  <c r="BI32" i="24"/>
  <c r="AQ32" i="25" s="1"/>
  <c r="X32" i="25"/>
  <c r="BI55" i="24"/>
  <c r="AQ55" i="25" s="1"/>
  <c r="BT105" i="24"/>
  <c r="BB105" i="25" s="1"/>
  <c r="AI105" i="25"/>
  <c r="AI80" i="25"/>
  <c r="BT80" i="24"/>
  <c r="BB80" i="25" s="1"/>
  <c r="AI4" i="25"/>
  <c r="BT4" i="24"/>
  <c r="BB4" i="25" s="1"/>
  <c r="AI24" i="25"/>
  <c r="BT24" i="24"/>
  <c r="BB24" i="25" s="1"/>
  <c r="AI98" i="25"/>
  <c r="BT98" i="24"/>
  <c r="BB98" i="25" s="1"/>
  <c r="BT132" i="24"/>
  <c r="BB132" i="25" s="1"/>
  <c r="AI132" i="25"/>
  <c r="BT84" i="24"/>
  <c r="BB84" i="25" s="1"/>
  <c r="AI84" i="25"/>
  <c r="BT43" i="24"/>
  <c r="BB43" i="25" s="1"/>
  <c r="AI43" i="25"/>
  <c r="BT89" i="24"/>
  <c r="BB89" i="25" s="1"/>
  <c r="AI89" i="25"/>
  <c r="AI60" i="25"/>
  <c r="BT60" i="24"/>
  <c r="BB60" i="25" s="1"/>
  <c r="BT63" i="24"/>
  <c r="BB63" i="25" s="1"/>
  <c r="AI63" i="25"/>
  <c r="AH92" i="25"/>
  <c r="BS92" i="24"/>
  <c r="BA92" i="25" s="1"/>
  <c r="AI92" i="25"/>
  <c r="BT92" i="24"/>
  <c r="BB92" i="25" s="1"/>
  <c r="AI17" i="25"/>
  <c r="BT17" i="24"/>
  <c r="BB17" i="25" s="1"/>
  <c r="AI136" i="25"/>
  <c r="BT136" i="24"/>
  <c r="BB136" i="25" s="1"/>
  <c r="AI59" i="25"/>
  <c r="BT59" i="24"/>
  <c r="BB59" i="25" s="1"/>
  <c r="BT127" i="24"/>
  <c r="BB127" i="25" s="1"/>
  <c r="AI127" i="25"/>
  <c r="AI97" i="25"/>
  <c r="BT97" i="24"/>
  <c r="BB97" i="25" s="1"/>
  <c r="AI51" i="25"/>
  <c r="BT51" i="24"/>
  <c r="BB51" i="25" s="1"/>
  <c r="AI75" i="25"/>
  <c r="BT75" i="24"/>
  <c r="BB75" i="25" s="1"/>
  <c r="AI5" i="25"/>
  <c r="BT5" i="24"/>
  <c r="BB5" i="25" s="1"/>
  <c r="AI130" i="25"/>
  <c r="BT130" i="24"/>
  <c r="BB130" i="25" s="1"/>
  <c r="BI70" i="24"/>
  <c r="AQ70" i="25" s="1"/>
  <c r="X70" i="25"/>
  <c r="BI84" i="24"/>
  <c r="AQ84" i="25" s="1"/>
  <c r="BT81" i="24"/>
  <c r="BB81" i="25" s="1"/>
  <c r="BW64" i="24"/>
  <c r="BE64" i="25" s="1"/>
  <c r="AL64" i="25"/>
  <c r="BW38" i="24"/>
  <c r="BE38" i="25" s="1"/>
  <c r="AL38" i="25"/>
  <c r="BW81" i="24"/>
  <c r="BE81" i="25" s="1"/>
  <c r="AL81" i="25"/>
  <c r="BW57" i="24"/>
  <c r="BE57" i="25" s="1"/>
  <c r="AL57" i="25"/>
  <c r="BW19" i="24"/>
  <c r="BE19" i="25" s="1"/>
  <c r="AL19" i="25"/>
  <c r="BW80" i="24"/>
  <c r="BE80" i="25" s="1"/>
  <c r="AL80" i="25"/>
  <c r="BW92" i="24"/>
  <c r="BE92" i="25" s="1"/>
  <c r="AL92" i="25"/>
  <c r="BW53" i="24"/>
  <c r="BE53" i="25" s="1"/>
  <c r="AL53" i="25"/>
  <c r="BW115" i="24"/>
  <c r="BE115" i="25" s="1"/>
  <c r="AL115" i="25"/>
  <c r="AH80" i="25"/>
  <c r="BS80" i="24"/>
  <c r="BA80" i="25" s="1"/>
  <c r="AH51" i="25"/>
  <c r="BS51" i="24"/>
  <c r="BA51" i="25" s="1"/>
  <c r="BS114" i="24"/>
  <c r="BA114" i="25" s="1"/>
  <c r="AH114" i="25"/>
  <c r="AC127" i="25"/>
  <c r="BN127" i="24"/>
  <c r="AV127" i="25" s="1"/>
  <c r="BV40" i="24"/>
  <c r="BD40" i="25" s="1"/>
  <c r="AK40" i="25"/>
  <c r="BV77" i="24"/>
  <c r="BD77" i="25" s="1"/>
  <c r="AK77" i="25"/>
  <c r="BV21" i="24"/>
  <c r="BD21" i="25" s="1"/>
  <c r="AK21" i="25"/>
  <c r="BV33" i="24"/>
  <c r="BD33" i="25" s="1"/>
  <c r="AK33" i="25"/>
  <c r="BV45" i="24"/>
  <c r="BD45" i="25" s="1"/>
  <c r="AK45" i="25"/>
  <c r="BV39" i="24"/>
  <c r="BD39" i="25" s="1"/>
  <c r="AK39" i="25"/>
  <c r="BV132" i="24"/>
  <c r="BD132" i="25" s="1"/>
  <c r="AK132" i="25"/>
  <c r="BV120" i="24"/>
  <c r="BD120" i="25" s="1"/>
  <c r="AK120" i="25"/>
  <c r="AK95" i="25"/>
  <c r="BV95" i="24"/>
  <c r="BD95" i="25" s="1"/>
  <c r="BR60" i="24"/>
  <c r="AZ60" i="25" s="1"/>
  <c r="AG60" i="25"/>
  <c r="AG30" i="25"/>
  <c r="BR30" i="24"/>
  <c r="AZ30" i="25" s="1"/>
  <c r="AC83" i="25"/>
  <c r="BN83" i="24"/>
  <c r="AV83" i="25" s="1"/>
  <c r="BW55" i="24"/>
  <c r="BE55" i="25" s="1"/>
  <c r="AL55" i="25"/>
  <c r="BW62" i="24"/>
  <c r="BE62" i="25" s="1"/>
  <c r="I32" i="23" s="1"/>
  <c r="K32" i="23" s="1"/>
  <c r="AL62" i="25"/>
  <c r="AH47" i="25"/>
  <c r="BS47" i="24"/>
  <c r="BA47" i="25" s="1"/>
  <c r="AH56" i="25"/>
  <c r="BS56" i="24"/>
  <c r="BA56" i="25" s="1"/>
  <c r="BS67" i="24"/>
  <c r="BA67" i="25" s="1"/>
  <c r="AH67" i="25"/>
  <c r="BS62" i="24"/>
  <c r="BA62" i="25" s="1"/>
  <c r="AH62" i="25"/>
  <c r="AH35" i="25"/>
  <c r="BS35" i="24"/>
  <c r="BA35" i="25" s="1"/>
  <c r="BN135" i="24"/>
  <c r="AV135" i="25" s="1"/>
  <c r="AC135" i="25"/>
  <c r="BN74" i="24"/>
  <c r="AV74" i="25" s="1"/>
  <c r="AC74" i="25"/>
  <c r="AK86" i="25"/>
  <c r="BV86" i="24"/>
  <c r="BD86" i="25" s="1"/>
  <c r="BV25" i="24"/>
  <c r="BD25" i="25" s="1"/>
  <c r="AK25" i="25"/>
  <c r="BV52" i="24"/>
  <c r="BD52" i="25" s="1"/>
  <c r="AK52" i="25"/>
  <c r="AK16" i="25"/>
  <c r="BV16" i="24"/>
  <c r="BD16" i="25" s="1"/>
  <c r="AK14" i="25"/>
  <c r="BV14" i="24"/>
  <c r="BD14" i="25" s="1"/>
  <c r="BV119" i="24"/>
  <c r="BD119" i="25" s="1"/>
  <c r="AK119" i="25"/>
  <c r="BV107" i="24"/>
  <c r="BD107" i="25" s="1"/>
  <c r="AK107" i="25"/>
  <c r="BR29" i="24"/>
  <c r="AZ29" i="25" s="1"/>
  <c r="AG29" i="25"/>
  <c r="BR95" i="24"/>
  <c r="AZ95" i="25" s="1"/>
  <c r="AG95" i="25"/>
  <c r="BR11" i="24"/>
  <c r="AZ11" i="25" s="1"/>
  <c r="AG11" i="25"/>
  <c r="AG67" i="25"/>
  <c r="BR67" i="24"/>
  <c r="AZ67" i="25" s="1"/>
  <c r="BR53" i="24"/>
  <c r="AZ53" i="25" s="1"/>
  <c r="AG53" i="25"/>
  <c r="BR101" i="24"/>
  <c r="AZ101" i="25" s="1"/>
  <c r="AG101" i="25"/>
  <c r="AG73" i="25"/>
  <c r="BR73" i="24"/>
  <c r="AZ73" i="25" s="1"/>
  <c r="BT45" i="24"/>
  <c r="BB45" i="25" s="1"/>
  <c r="BI111" i="24"/>
  <c r="AQ111" i="25" s="1"/>
  <c r="BV82" i="24"/>
  <c r="BD82" i="25" s="1"/>
  <c r="AH44" i="25"/>
  <c r="AI103" i="25"/>
  <c r="BW97" i="24"/>
  <c r="BE97" i="25" s="1"/>
  <c r="AL97" i="25"/>
  <c r="BW47" i="24"/>
  <c r="BE47" i="25" s="1"/>
  <c r="AL47" i="25"/>
  <c r="BW21" i="24"/>
  <c r="BE21" i="25" s="1"/>
  <c r="AL21" i="25"/>
  <c r="AH41" i="25"/>
  <c r="F28" i="23" s="1"/>
  <c r="H28" i="23" s="1"/>
  <c r="BS41" i="24"/>
  <c r="BA41" i="25" s="1"/>
  <c r="BN91" i="24"/>
  <c r="AV91" i="25" s="1"/>
  <c r="AC91" i="25"/>
  <c r="BV111" i="24"/>
  <c r="BD111" i="25" s="1"/>
  <c r="AK111" i="25"/>
  <c r="AG36" i="25"/>
  <c r="BR36" i="24"/>
  <c r="AZ36" i="25" s="1"/>
  <c r="BR91" i="24"/>
  <c r="AZ91" i="25" s="1"/>
  <c r="AG91" i="25"/>
  <c r="AG112" i="25"/>
  <c r="BR112" i="24"/>
  <c r="AZ112" i="25" s="1"/>
  <c r="BR20" i="24"/>
  <c r="AZ20" i="25" s="1"/>
  <c r="AG20" i="25"/>
  <c r="AG8" i="25"/>
  <c r="BR8" i="24"/>
  <c r="AZ8" i="25" s="1"/>
  <c r="BW103" i="24"/>
  <c r="BE103" i="25" s="1"/>
  <c r="AL103" i="25"/>
  <c r="BW54" i="24"/>
  <c r="BE54" i="25" s="1"/>
  <c r="AL54" i="25"/>
  <c r="BW122" i="24"/>
  <c r="BE122" i="25" s="1"/>
  <c r="AL122" i="25"/>
  <c r="BS96" i="24"/>
  <c r="BA96" i="25" s="1"/>
  <c r="AH96" i="25"/>
  <c r="BS32" i="24"/>
  <c r="BA32" i="25" s="1"/>
  <c r="AH32" i="25"/>
  <c r="AH29" i="25"/>
  <c r="BS29" i="24"/>
  <c r="BA29" i="25" s="1"/>
  <c r="BN132" i="24"/>
  <c r="AV132" i="25" s="1"/>
  <c r="AC132" i="25"/>
  <c r="BV6" i="24"/>
  <c r="BD6" i="25" s="1"/>
  <c r="AK6" i="25"/>
  <c r="AK55" i="25"/>
  <c r="BV55" i="24"/>
  <c r="BD55" i="25" s="1"/>
  <c r="AK31" i="25"/>
  <c r="BV31" i="24"/>
  <c r="BD31" i="25" s="1"/>
  <c r="AK117" i="25"/>
  <c r="BV117" i="24"/>
  <c r="BD117" i="25" s="1"/>
  <c r="AK134" i="25"/>
  <c r="BV134" i="24"/>
  <c r="BD134" i="25" s="1"/>
  <c r="BR19" i="24"/>
  <c r="AZ19" i="25" s="1"/>
  <c r="AG19" i="25"/>
  <c r="AG50" i="25"/>
  <c r="BR50" i="24"/>
  <c r="AZ50" i="25" s="1"/>
  <c r="BR96" i="24"/>
  <c r="AZ96" i="25" s="1"/>
  <c r="AG96" i="25"/>
  <c r="AL17" i="25"/>
  <c r="BS132" i="24"/>
  <c r="BA132" i="25" s="1"/>
  <c r="BT78" i="24"/>
  <c r="BB78" i="25" s="1"/>
  <c r="BS130" i="24"/>
  <c r="BA130" i="25" s="1"/>
  <c r="AC26" i="25"/>
  <c r="BR55" i="24"/>
  <c r="AZ55" i="25" s="1"/>
  <c r="AL7" i="25"/>
  <c r="AH22" i="25"/>
  <c r="BT31" i="24"/>
  <c r="BB31" i="25" s="1"/>
  <c r="BS48" i="24"/>
  <c r="BA48" i="25" s="1"/>
  <c r="AI23" i="25"/>
  <c r="AK124" i="25"/>
  <c r="BS115" i="24"/>
  <c r="BA115" i="25" s="1"/>
  <c r="AI16" i="25"/>
  <c r="BT16" i="24"/>
  <c r="BB16" i="25" s="1"/>
  <c r="AI135" i="25"/>
  <c r="BT135" i="24"/>
  <c r="BB135" i="25" s="1"/>
  <c r="AI11" i="25"/>
  <c r="BT11" i="24"/>
  <c r="BB11" i="25" s="1"/>
  <c r="BV135" i="24"/>
  <c r="BD135" i="25" s="1"/>
  <c r="AK135" i="25"/>
  <c r="AK98" i="25"/>
  <c r="AC14" i="25"/>
  <c r="AC120" i="25"/>
  <c r="AH109" i="25"/>
  <c r="BV34" i="24"/>
  <c r="BD34" i="25" s="1"/>
  <c r="BS55" i="24"/>
  <c r="BA55" i="25" s="1"/>
  <c r="AL12" i="25"/>
  <c r="AL51" i="25"/>
  <c r="AL41" i="25"/>
  <c r="AL130" i="25"/>
  <c r="BV73" i="24"/>
  <c r="BD73" i="25" s="1"/>
  <c r="BS104" i="24"/>
  <c r="BA104" i="25" s="1"/>
  <c r="BR13" i="24"/>
  <c r="AZ13" i="25" s="1"/>
  <c r="BS93" i="24"/>
  <c r="BA93" i="25" s="1"/>
  <c r="AH45" i="25"/>
  <c r="AC95" i="25"/>
  <c r="X129" i="25"/>
  <c r="BS63" i="24"/>
  <c r="BA63" i="25" s="1"/>
  <c r="AL84" i="25"/>
  <c r="BV72" i="24"/>
  <c r="BD72" i="25" s="1"/>
  <c r="AL29" i="25"/>
  <c r="AL33" i="25"/>
  <c r="AL109" i="25"/>
  <c r="AH120" i="25"/>
  <c r="AH52" i="25"/>
  <c r="AH125" i="25"/>
  <c r="AK48" i="25"/>
  <c r="AG18" i="25"/>
  <c r="BV129" i="24"/>
  <c r="BD129" i="25" s="1"/>
  <c r="BR51" i="24"/>
  <c r="AZ51" i="25" s="1"/>
  <c r="BS14" i="24"/>
  <c r="BA14" i="25" s="1"/>
  <c r="BV128" i="24"/>
  <c r="BD128" i="25" s="1"/>
  <c r="AK43" i="25"/>
  <c r="BV15" i="24"/>
  <c r="BD15" i="25" s="1"/>
  <c r="BV105" i="24"/>
  <c r="BD105" i="25" s="1"/>
  <c r="BV93" i="24"/>
  <c r="BD93" i="25" s="1"/>
  <c r="AH8" i="25"/>
  <c r="BV36" i="24"/>
  <c r="BD36" i="25" s="1"/>
  <c r="BS82" i="24"/>
  <c r="BA82" i="25" s="1"/>
  <c r="BS19" i="24"/>
  <c r="BA19" i="25" s="1"/>
  <c r="BS46" i="24"/>
  <c r="BA46" i="25" s="1"/>
  <c r="BS69" i="24"/>
  <c r="BA69" i="25" s="1"/>
  <c r="BS11" i="24"/>
  <c r="BA11" i="25" s="1"/>
  <c r="BS116" i="24"/>
  <c r="BA116" i="25" s="1"/>
  <c r="AH49" i="25"/>
  <c r="AH7" i="25"/>
  <c r="AG82" i="25"/>
  <c r="BN134" i="24"/>
  <c r="AV134" i="25" s="1"/>
  <c r="BN98" i="24"/>
  <c r="AV98" i="25" s="1"/>
  <c r="AC103" i="25"/>
  <c r="BN38" i="24"/>
  <c r="AV38" i="25" s="1"/>
  <c r="AC7" i="25"/>
  <c r="BN136" i="24"/>
  <c r="AV136" i="25" s="1"/>
  <c r="BN117" i="24"/>
  <c r="AV117" i="25" s="1"/>
  <c r="AC49" i="25"/>
  <c r="AC104" i="25"/>
  <c r="BN115" i="24"/>
  <c r="AV115" i="25" s="1"/>
  <c r="BN33" i="24"/>
  <c r="AV33" i="25" s="1"/>
  <c r="BN114" i="24"/>
  <c r="AV114" i="25" s="1"/>
  <c r="BN97" i="24"/>
  <c r="AV97" i="25" s="1"/>
  <c r="BN130" i="24"/>
  <c r="AV130" i="25" s="1"/>
  <c r="BN71" i="24"/>
  <c r="AV71" i="25" s="1"/>
  <c r="BK94" i="24"/>
  <c r="AS94" i="25" s="1"/>
  <c r="AC78" i="25"/>
  <c r="AC28" i="25"/>
  <c r="BN67" i="24"/>
  <c r="AV67" i="25" s="1"/>
  <c r="BN56" i="24"/>
  <c r="AV56" i="25" s="1"/>
  <c r="BN128" i="24"/>
  <c r="AV128" i="25" s="1"/>
  <c r="BN19" i="24"/>
  <c r="AV19" i="25" s="1"/>
  <c r="AC96" i="25"/>
  <c r="BN124" i="24"/>
  <c r="AV124" i="25" s="1"/>
  <c r="BN13" i="24"/>
  <c r="AV13" i="25" s="1"/>
  <c r="BN101" i="24"/>
  <c r="AV101" i="25" s="1"/>
  <c r="AC80" i="25"/>
  <c r="BN37" i="24"/>
  <c r="AV37" i="25" s="1"/>
  <c r="BN12" i="24"/>
  <c r="AV12" i="25" s="1"/>
  <c r="BN123" i="24"/>
  <c r="AV123" i="25" s="1"/>
  <c r="BN34" i="24"/>
  <c r="AV34" i="25" s="1"/>
  <c r="AC32" i="25"/>
  <c r="BN77" i="24"/>
  <c r="AV77" i="25" s="1"/>
  <c r="BN47" i="24"/>
  <c r="AV47" i="25" s="1"/>
  <c r="BN5" i="24"/>
  <c r="AV5" i="25" s="1"/>
  <c r="BI124" i="24"/>
  <c r="AQ124" i="25" s="1"/>
  <c r="BI5" i="24"/>
  <c r="AQ5" i="25" s="1"/>
  <c r="X104" i="25"/>
  <c r="X91" i="25"/>
  <c r="BI116" i="24"/>
  <c r="AQ116" i="25" s="1"/>
  <c r="X29" i="25"/>
  <c r="X68" i="25"/>
  <c r="X25" i="25"/>
  <c r="X80" i="25"/>
  <c r="BI97" i="24"/>
  <c r="AQ97" i="25" s="1"/>
  <c r="BI99" i="24"/>
  <c r="AQ99" i="25" s="1"/>
  <c r="X24" i="25"/>
  <c r="X58" i="25"/>
  <c r="X38" i="25"/>
  <c r="BI20" i="24"/>
  <c r="AQ20" i="25" s="1"/>
  <c r="BI86" i="24"/>
  <c r="AQ86" i="25" s="1"/>
  <c r="BI43" i="24"/>
  <c r="AQ43" i="25" s="1"/>
  <c r="BI18" i="24"/>
  <c r="AQ18" i="25" s="1"/>
  <c r="BI36" i="24"/>
  <c r="AQ36" i="25" s="1"/>
  <c r="BI37" i="24"/>
  <c r="AQ37" i="25" s="1"/>
  <c r="BI9" i="24"/>
  <c r="AQ9" i="25" s="1"/>
  <c r="X50" i="25"/>
  <c r="BI74" i="24"/>
  <c r="AQ74" i="25" s="1"/>
  <c r="BI34" i="24"/>
  <c r="AQ34" i="25" s="1"/>
  <c r="BI120" i="24"/>
  <c r="AQ120" i="25" s="1"/>
  <c r="X136" i="25"/>
  <c r="BI21" i="24"/>
  <c r="AQ21" i="25" s="1"/>
  <c r="BI94" i="24"/>
  <c r="AQ94" i="25" s="1"/>
  <c r="BI127" i="24"/>
  <c r="AQ127" i="25" s="1"/>
  <c r="X96" i="25"/>
  <c r="BI7" i="24"/>
  <c r="AQ7" i="25" s="1"/>
  <c r="AL69" i="25"/>
  <c r="AL42" i="25"/>
  <c r="BS23" i="24"/>
  <c r="BA23" i="25" s="1"/>
  <c r="AL65" i="25"/>
  <c r="BS37" i="24"/>
  <c r="BA37" i="25" s="1"/>
  <c r="BS84" i="24"/>
  <c r="BA84" i="25" s="1"/>
  <c r="BR32" i="24"/>
  <c r="AZ32" i="25" s="1"/>
  <c r="AL22" i="25"/>
  <c r="AL102" i="25"/>
  <c r="BS31" i="24"/>
  <c r="BA31" i="25" s="1"/>
  <c r="AL50" i="25"/>
  <c r="AL127" i="25"/>
  <c r="BS121" i="24"/>
  <c r="BA121" i="25" s="1"/>
  <c r="BS118" i="24"/>
  <c r="BA118" i="25" s="1"/>
  <c r="AH110" i="25"/>
  <c r="AL16" i="25"/>
  <c r="AL13" i="25"/>
  <c r="AH26" i="25"/>
  <c r="BR15" i="24"/>
  <c r="AZ15" i="25" s="1"/>
  <c r="AL31" i="25"/>
  <c r="BN23" i="24"/>
  <c r="AV23" i="25" s="1"/>
  <c r="BN108" i="24"/>
  <c r="AV108" i="25" s="1"/>
  <c r="BN86" i="24"/>
  <c r="AV86" i="25" s="1"/>
  <c r="AC57" i="25"/>
  <c r="BN75" i="24"/>
  <c r="AV75" i="25" s="1"/>
  <c r="AC52" i="25"/>
  <c r="BN93" i="24"/>
  <c r="AV93" i="25" s="1"/>
  <c r="AC22" i="25"/>
  <c r="BN84" i="24"/>
  <c r="AV84" i="25" s="1"/>
  <c r="AC42" i="25"/>
  <c r="BN82" i="24"/>
  <c r="AV82" i="25" s="1"/>
  <c r="BN119" i="24"/>
  <c r="AV119" i="25" s="1"/>
  <c r="BN29" i="24"/>
  <c r="AV29" i="25" s="1"/>
  <c r="AC44" i="25"/>
  <c r="BN87" i="24"/>
  <c r="AV87" i="25" s="1"/>
  <c r="BN73" i="24"/>
  <c r="AV73" i="25" s="1"/>
  <c r="BN40" i="24"/>
  <c r="AV40" i="25" s="1"/>
  <c r="BN9" i="24"/>
  <c r="AV9" i="25" s="1"/>
  <c r="BN31" i="24"/>
  <c r="AV31" i="25" s="1"/>
  <c r="BN88" i="24"/>
  <c r="AV88" i="25" s="1"/>
  <c r="BN8" i="24"/>
  <c r="AV8" i="25" s="1"/>
  <c r="AC46" i="25"/>
  <c r="BN118" i="24"/>
  <c r="AV118" i="25" s="1"/>
  <c r="BN111" i="24"/>
  <c r="AV111" i="25" s="1"/>
  <c r="BN106" i="24"/>
  <c r="AV106" i="25" s="1"/>
  <c r="BN20" i="24"/>
  <c r="AV20" i="25" s="1"/>
  <c r="AC16" i="25"/>
  <c r="BN15" i="24"/>
  <c r="AV15" i="25" s="1"/>
  <c r="BN18" i="24"/>
  <c r="AV18" i="25" s="1"/>
  <c r="X48" i="25"/>
  <c r="BI46" i="24"/>
  <c r="AQ46" i="25" s="1"/>
  <c r="X119" i="25"/>
  <c r="BI19" i="24"/>
  <c r="AQ19" i="25" s="1"/>
  <c r="BI117" i="24"/>
  <c r="AQ117" i="25" s="1"/>
  <c r="BI59" i="24"/>
  <c r="AQ59" i="25" s="1"/>
  <c r="BI63" i="24"/>
  <c r="AQ63" i="25" s="1"/>
  <c r="X107" i="25"/>
  <c r="BI14" i="24"/>
  <c r="AQ14" i="25" s="1"/>
  <c r="BI100" i="24"/>
  <c r="AQ100" i="25" s="1"/>
  <c r="X4" i="25"/>
  <c r="BI67" i="24"/>
  <c r="AQ67" i="25" s="1"/>
  <c r="BI76" i="24"/>
  <c r="AQ76" i="25" s="1"/>
  <c r="BI78" i="24"/>
  <c r="AQ78" i="25" s="1"/>
  <c r="X105" i="25"/>
  <c r="BI47" i="24"/>
  <c r="AQ47" i="25" s="1"/>
  <c r="BI118" i="24"/>
  <c r="AQ118" i="25" s="1"/>
  <c r="BI12" i="24"/>
  <c r="AQ12" i="25" s="1"/>
  <c r="X54" i="25"/>
  <c r="BI90" i="24"/>
  <c r="AQ90" i="25" s="1"/>
  <c r="BI23" i="24"/>
  <c r="AQ23" i="25" s="1"/>
  <c r="BI11" i="24"/>
  <c r="AQ11" i="25" s="1"/>
  <c r="X51" i="25"/>
  <c r="BI88" i="24"/>
  <c r="AQ88" i="25" s="1"/>
  <c r="X65" i="25"/>
  <c r="BI15" i="24"/>
  <c r="AQ15" i="25" s="1"/>
  <c r="BI81" i="24"/>
  <c r="AQ81" i="25" s="1"/>
  <c r="BI133" i="24"/>
  <c r="AQ133" i="25" s="1"/>
  <c r="BI71" i="24"/>
  <c r="AQ71" i="25" s="1"/>
  <c r="X98" i="25"/>
  <c r="BI73" i="24"/>
  <c r="AQ73" i="25" s="1"/>
  <c r="X77" i="25"/>
  <c r="BI30" i="24"/>
  <c r="AQ30" i="25" s="1"/>
  <c r="X26" i="25"/>
  <c r="BI89" i="24"/>
  <c r="AQ89" i="25" s="1"/>
  <c r="BI101" i="24"/>
  <c r="AQ101" i="25" s="1"/>
  <c r="X132" i="25"/>
  <c r="X42" i="25"/>
  <c r="BI27" i="24"/>
  <c r="AQ27" i="25" s="1"/>
  <c r="BI35" i="24"/>
  <c r="AQ35" i="25" s="1"/>
  <c r="BI115" i="24"/>
  <c r="AQ115" i="25" s="1"/>
  <c r="X49" i="25"/>
  <c r="AH131" i="25"/>
  <c r="AH136" i="25"/>
  <c r="BN126" i="24"/>
  <c r="AV126" i="25" s="1"/>
  <c r="AC105" i="25"/>
  <c r="AH135" i="25"/>
  <c r="AC27" i="25"/>
  <c r="BS102" i="24"/>
  <c r="BA102" i="25" s="1"/>
  <c r="AC50" i="25"/>
  <c r="BI122" i="24"/>
  <c r="AQ122" i="25" s="1"/>
  <c r="X79" i="25"/>
  <c r="BI108" i="24"/>
  <c r="AQ108" i="25" s="1"/>
  <c r="BI53" i="24"/>
  <c r="AQ53" i="25" s="1"/>
  <c r="BI92" i="24"/>
  <c r="AQ92" i="25" s="1"/>
  <c r="BI130" i="24"/>
  <c r="AQ130" i="25" s="1"/>
  <c r="BI13" i="24"/>
  <c r="AQ13" i="25" s="1"/>
  <c r="BI57" i="24"/>
  <c r="AQ57" i="25" s="1"/>
  <c r="BI28" i="24"/>
  <c r="AQ28" i="25" s="1"/>
  <c r="BI16" i="24"/>
  <c r="AQ16" i="25" s="1"/>
  <c r="X60" i="25"/>
  <c r="BI85" i="24"/>
  <c r="AQ85" i="25" s="1"/>
  <c r="BI40" i="24"/>
  <c r="AQ40" i="25" s="1"/>
  <c r="BI31" i="24"/>
  <c r="AQ31" i="25" s="1"/>
  <c r="BS17" i="24"/>
  <c r="BA17" i="25" s="1"/>
  <c r="BS78" i="24"/>
  <c r="BA78" i="25" s="1"/>
  <c r="AK46" i="25"/>
  <c r="AL32" i="25"/>
  <c r="AL58" i="25"/>
  <c r="BN4" i="24"/>
  <c r="AV4" i="25" s="1"/>
  <c r="BS43" i="24"/>
  <c r="BA43" i="25" s="1"/>
  <c r="AL74" i="25"/>
  <c r="AL98" i="25"/>
  <c r="AL35" i="25"/>
  <c r="AL126" i="25"/>
  <c r="AL60" i="25"/>
  <c r="AL95" i="25"/>
  <c r="AL6" i="25"/>
  <c r="AL116" i="25"/>
  <c r="AL26" i="25"/>
  <c r="AL121" i="25"/>
  <c r="AL14" i="25"/>
  <c r="AL135" i="25"/>
  <c r="AL114" i="25"/>
  <c r="AL91" i="25"/>
  <c r="AL112" i="25"/>
  <c r="AL43" i="25"/>
  <c r="AL101" i="25"/>
  <c r="AL79" i="25"/>
  <c r="AL8" i="25"/>
  <c r="AL56" i="25"/>
  <c r="AL131" i="25"/>
  <c r="AL132" i="25"/>
  <c r="AL45" i="25"/>
  <c r="AL20" i="25"/>
  <c r="AL71" i="25"/>
  <c r="AL85" i="25"/>
  <c r="AL27" i="25"/>
  <c r="AL9" i="25"/>
  <c r="AL96" i="25"/>
  <c r="AL93" i="25"/>
  <c r="AK30" i="25"/>
  <c r="AK75" i="25"/>
  <c r="BV60" i="24"/>
  <c r="BD60" i="25" s="1"/>
  <c r="AK35" i="25"/>
  <c r="BV64" i="24"/>
  <c r="BD64" i="25" s="1"/>
  <c r="BV74" i="24"/>
  <c r="BD74" i="25" s="1"/>
  <c r="BV125" i="24"/>
  <c r="BD125" i="25" s="1"/>
  <c r="BV7" i="24"/>
  <c r="BD7" i="25" s="1"/>
  <c r="BV23" i="24"/>
  <c r="BD23" i="25" s="1"/>
  <c r="BV133" i="24"/>
  <c r="BD133" i="25" s="1"/>
  <c r="BV29" i="24"/>
  <c r="BD29" i="25" s="1"/>
  <c r="BV19" i="24"/>
  <c r="BD19" i="25" s="1"/>
  <c r="BT28" i="24"/>
  <c r="BB28" i="25" s="1"/>
  <c r="BT9" i="24"/>
  <c r="BB9" i="25" s="1"/>
  <c r="BT15" i="24"/>
  <c r="BB15" i="25" s="1"/>
  <c r="BT87" i="24"/>
  <c r="BB87" i="25" s="1"/>
  <c r="AI61" i="25"/>
  <c r="BT85" i="24"/>
  <c r="BB85" i="25" s="1"/>
  <c r="BT12" i="24"/>
  <c r="BB12" i="25" s="1"/>
  <c r="BT22" i="24"/>
  <c r="BB22" i="25" s="1"/>
  <c r="BT37" i="24"/>
  <c r="BB37" i="25" s="1"/>
  <c r="BT77" i="24"/>
  <c r="BB77" i="25" s="1"/>
  <c r="AI7" i="25"/>
  <c r="BT52" i="24"/>
  <c r="BB52" i="25" s="1"/>
  <c r="BT110" i="24"/>
  <c r="BB110" i="25" s="1"/>
  <c r="BT83" i="24"/>
  <c r="BB83" i="25" s="1"/>
  <c r="BS134" i="24"/>
  <c r="BA134" i="25" s="1"/>
  <c r="BS129" i="24"/>
  <c r="BA129" i="25" s="1"/>
  <c r="BS10" i="24"/>
  <c r="BA10" i="25" s="1"/>
  <c r="BS117" i="24"/>
  <c r="BA117" i="25" s="1"/>
  <c r="BS12" i="24"/>
  <c r="BA12" i="25" s="1"/>
  <c r="BS107" i="24"/>
  <c r="BA107" i="25" s="1"/>
  <c r="BS100" i="24"/>
  <c r="BA100" i="25" s="1"/>
  <c r="BS98" i="24"/>
  <c r="BA98" i="25" s="1"/>
  <c r="AG90" i="25"/>
  <c r="AG121" i="25"/>
  <c r="BR126" i="24"/>
  <c r="AZ126" i="25" s="1"/>
  <c r="AG68" i="25"/>
  <c r="BR45" i="24"/>
  <c r="AZ45" i="25" s="1"/>
  <c r="BR107" i="24"/>
  <c r="AZ107" i="25" s="1"/>
  <c r="BR120" i="24"/>
  <c r="AZ120" i="25" s="1"/>
  <c r="AG78" i="25"/>
  <c r="BR44" i="24"/>
  <c r="AZ44" i="25" s="1"/>
  <c r="BR75" i="24"/>
  <c r="AZ75" i="25" s="1"/>
  <c r="BR97" i="24"/>
  <c r="AZ97" i="25" s="1"/>
  <c r="BR6" i="24"/>
  <c r="AZ6" i="25" s="1"/>
  <c r="BR93" i="24"/>
  <c r="AZ93" i="25" s="1"/>
  <c r="BR62" i="24"/>
  <c r="AZ62" i="25" s="1"/>
  <c r="BR89" i="24"/>
  <c r="AZ89" i="25" s="1"/>
  <c r="BR58" i="24"/>
  <c r="AZ58" i="25" s="1"/>
  <c r="BR117" i="24"/>
  <c r="AZ117" i="25" s="1"/>
  <c r="BR127" i="24"/>
  <c r="AZ127" i="25" s="1"/>
  <c r="BR24" i="24"/>
  <c r="AZ24" i="25" s="1"/>
  <c r="BR42" i="24"/>
  <c r="AZ42" i="25" s="1"/>
  <c r="BR83" i="24"/>
  <c r="AZ83" i="25" s="1"/>
  <c r="BR119" i="24"/>
  <c r="AZ119" i="25" s="1"/>
  <c r="BR16" i="24"/>
  <c r="AZ16" i="25" s="1"/>
  <c r="BR35" i="24"/>
  <c r="AZ35" i="25" s="1"/>
  <c r="BR80" i="24"/>
  <c r="AZ80" i="25" s="1"/>
  <c r="BR88" i="24"/>
  <c r="AZ88" i="25" s="1"/>
  <c r="BR56" i="24"/>
  <c r="AZ56" i="25" s="1"/>
  <c r="BN133" i="24"/>
  <c r="AV133" i="25" s="1"/>
  <c r="BN122" i="24"/>
  <c r="AV122" i="25" s="1"/>
  <c r="BN17" i="24"/>
  <c r="AV17" i="25" s="1"/>
  <c r="BN61" i="24"/>
  <c r="AV61" i="25" s="1"/>
  <c r="BN53" i="24"/>
  <c r="AV53" i="25" s="1"/>
  <c r="BN11" i="24"/>
  <c r="AV11" i="25" s="1"/>
  <c r="BN68" i="24"/>
  <c r="AV68" i="25" s="1"/>
  <c r="BN35" i="24"/>
  <c r="AV35" i="25" s="1"/>
  <c r="BN89" i="24"/>
  <c r="AV89" i="25" s="1"/>
  <c r="BN66" i="24"/>
  <c r="AV66" i="25" s="1"/>
  <c r="BN65" i="24"/>
  <c r="AV65" i="25" s="1"/>
  <c r="BN92" i="24"/>
  <c r="AV92" i="25" s="1"/>
  <c r="BN116" i="24"/>
  <c r="AV116" i="25" s="1"/>
  <c r="BN24" i="24"/>
  <c r="AV24" i="25" s="1"/>
  <c r="BN60" i="24"/>
  <c r="AV60" i="25" s="1"/>
  <c r="BN125" i="24"/>
  <c r="AV125" i="25" s="1"/>
  <c r="BN81" i="24"/>
  <c r="AV81" i="25" s="1"/>
  <c r="BN48" i="24"/>
  <c r="AV48" i="25" s="1"/>
  <c r="BN110" i="24"/>
  <c r="AV110" i="25" s="1"/>
  <c r="BN69" i="24"/>
  <c r="AV69" i="25" s="1"/>
  <c r="BN51" i="24"/>
  <c r="AV51" i="25" s="1"/>
  <c r="BN76" i="24"/>
  <c r="AV76" i="25" s="1"/>
  <c r="BK111" i="24"/>
  <c r="AS111" i="25" s="1"/>
  <c r="BI135" i="24"/>
  <c r="AQ135" i="25" s="1"/>
  <c r="BI62" i="24"/>
  <c r="AQ62" i="25" s="1"/>
  <c r="BI131" i="24"/>
  <c r="AQ131" i="25" s="1"/>
  <c r="BI72" i="24"/>
  <c r="AQ72" i="25" s="1"/>
  <c r="BI33" i="24"/>
  <c r="AQ33" i="25" s="1"/>
  <c r="BI93" i="24"/>
  <c r="AQ93" i="25" s="1"/>
  <c r="BI109" i="24"/>
  <c r="AQ109" i="25" s="1"/>
  <c r="BI82" i="24"/>
  <c r="AQ82" i="25" s="1"/>
  <c r="BI56" i="24"/>
  <c r="AQ56" i="25" s="1"/>
  <c r="BI106" i="24"/>
  <c r="AQ106" i="25" s="1"/>
  <c r="BI45" i="24"/>
  <c r="AQ45" i="25" s="1"/>
  <c r="BI110" i="24"/>
  <c r="AQ110" i="25" s="1"/>
  <c r="BI17" i="24"/>
  <c r="AQ17" i="25" s="1"/>
  <c r="BI83" i="24"/>
  <c r="AQ83" i="25" s="1"/>
  <c r="BI66" i="24"/>
  <c r="AQ66" i="25" s="1"/>
  <c r="BI39" i="24"/>
  <c r="AQ39" i="25" s="1"/>
  <c r="BI103" i="24"/>
  <c r="AQ103" i="25" s="1"/>
  <c r="BI64" i="24"/>
  <c r="AQ64" i="25" s="1"/>
  <c r="BI61" i="24"/>
  <c r="AQ61" i="25" s="1"/>
  <c r="AL106" i="25"/>
  <c r="AL18" i="25"/>
  <c r="BI52" i="24"/>
  <c r="AQ52" i="25" s="1"/>
  <c r="BT88" i="24"/>
  <c r="BB88" i="25" s="1"/>
  <c r="BS16" i="24"/>
  <c r="BA16" i="25" s="1"/>
  <c r="AL63" i="25"/>
  <c r="BV130" i="24"/>
  <c r="BD130" i="25" s="1"/>
  <c r="BS86" i="24"/>
  <c r="BA86" i="25" s="1"/>
  <c r="BS94" i="24"/>
  <c r="BA94" i="25" s="1"/>
  <c r="BS18" i="24"/>
  <c r="BA18" i="25" s="1"/>
  <c r="BV24" i="24"/>
  <c r="BD24" i="25" s="1"/>
  <c r="BR113" i="24"/>
  <c r="AZ113" i="25" s="1"/>
  <c r="BR109" i="24"/>
  <c r="AZ109" i="25" s="1"/>
  <c r="BT111" i="24"/>
  <c r="BB111" i="25" s="1"/>
  <c r="BN21" i="24"/>
  <c r="AV21" i="25" s="1"/>
  <c r="AL120" i="25"/>
  <c r="BV4" i="24"/>
  <c r="BD4" i="25" s="1"/>
  <c r="BT126" i="24"/>
  <c r="BB126" i="25" s="1"/>
  <c r="BN62" i="24"/>
  <c r="AV62" i="25" s="1"/>
  <c r="AL10" i="25"/>
  <c r="BS113" i="24"/>
  <c r="BA113" i="25" s="1"/>
  <c r="BV91" i="24"/>
  <c r="BD91" i="25" s="1"/>
  <c r="BV100" i="24"/>
  <c r="BD100" i="25" s="1"/>
  <c r="BN113" i="24"/>
  <c r="AV113" i="25" s="1"/>
  <c r="BV113" i="24"/>
  <c r="BD113" i="25" s="1"/>
  <c r="BN102" i="24"/>
  <c r="AV102" i="25" s="1"/>
  <c r="BS126" i="24"/>
  <c r="BA126" i="25" s="1"/>
  <c r="BT6" i="24"/>
  <c r="BB6" i="25" s="1"/>
  <c r="BR123" i="24"/>
  <c r="AZ123" i="25" s="1"/>
  <c r="BT10" i="24"/>
  <c r="BB10" i="25" s="1"/>
  <c r="BV104" i="24"/>
  <c r="BD104" i="25" s="1"/>
  <c r="BS85" i="24"/>
  <c r="BA85" i="25" s="1"/>
  <c r="BN64" i="24"/>
  <c r="AV64" i="25" s="1"/>
  <c r="BS133" i="24"/>
  <c r="BA133" i="25" s="1"/>
  <c r="BR76" i="24"/>
  <c r="AZ76" i="25" s="1"/>
  <c r="BV127" i="24"/>
  <c r="BD127" i="25" s="1"/>
  <c r="AL104" i="25"/>
  <c r="AL39" i="25"/>
  <c r="AL28" i="25"/>
  <c r="BT79" i="24"/>
  <c r="BB79" i="25" s="1"/>
  <c r="AI79" i="25"/>
  <c r="AK114" i="25"/>
  <c r="BV114" i="24"/>
  <c r="BD114" i="25" s="1"/>
  <c r="AL105" i="25"/>
  <c r="AG5" i="25"/>
  <c r="BR5" i="24"/>
  <c r="AZ5" i="25" s="1"/>
  <c r="AH87" i="25"/>
  <c r="BS87" i="24"/>
  <c r="BA87" i="25" s="1"/>
  <c r="Z38" i="25"/>
  <c r="BK119" i="24"/>
  <c r="AS119" i="25" s="1"/>
  <c r="BK13" i="24"/>
  <c r="AS13" i="25" s="1"/>
  <c r="AA54" i="25"/>
  <c r="BK48" i="24"/>
  <c r="AS48" i="25" s="1"/>
  <c r="BK66" i="24"/>
  <c r="AS66" i="25" s="1"/>
  <c r="BK68" i="24"/>
  <c r="AS68" i="25" s="1"/>
  <c r="Z50" i="25"/>
  <c r="BK59" i="24"/>
  <c r="AS59" i="25" s="1"/>
  <c r="AA71" i="25"/>
  <c r="K35" i="36"/>
  <c r="L17" i="36"/>
  <c r="BL92" i="24"/>
  <c r="AT92" i="25" s="1"/>
  <c r="BK98" i="24"/>
  <c r="AS98" i="25" s="1"/>
  <c r="Z28" i="25"/>
  <c r="BK130" i="24"/>
  <c r="AS130" i="25" s="1"/>
  <c r="AA21" i="25"/>
  <c r="BL80" i="24"/>
  <c r="AT80" i="25" s="1"/>
  <c r="BK96" i="24"/>
  <c r="AS96" i="25" s="1"/>
  <c r="Z106" i="25"/>
  <c r="Z104" i="25"/>
  <c r="BK103" i="24"/>
  <c r="AS103" i="25" s="1"/>
  <c r="BK116" i="24"/>
  <c r="AS116" i="25" s="1"/>
  <c r="BL38" i="24"/>
  <c r="AT38" i="25" s="1"/>
  <c r="BK107" i="24"/>
  <c r="AS107" i="25" s="1"/>
  <c r="BK81" i="24"/>
  <c r="AS81" i="25" s="1"/>
  <c r="Z91" i="25"/>
  <c r="J33" i="36"/>
  <c r="L33" i="36" s="1"/>
  <c r="M19" i="36"/>
  <c r="J19" i="36"/>
  <c r="G33" i="23"/>
  <c r="Z109" i="25"/>
  <c r="Z64" i="25"/>
  <c r="AA123" i="25"/>
  <c r="Z92" i="25"/>
  <c r="BK58" i="24"/>
  <c r="AS58" i="25" s="1"/>
  <c r="BK123" i="24"/>
  <c r="AS123" i="25" s="1"/>
  <c r="BK56" i="24"/>
  <c r="AS56" i="25" s="1"/>
  <c r="BK33" i="24"/>
  <c r="AS33" i="25" s="1"/>
  <c r="BK62" i="24"/>
  <c r="AS62" i="25" s="1"/>
  <c r="BL131" i="24"/>
  <c r="AT131" i="25" s="1"/>
  <c r="J29" i="36"/>
  <c r="L29" i="36" s="1"/>
  <c r="BL6" i="24"/>
  <c r="AT6" i="25" s="1"/>
  <c r="BK87" i="24"/>
  <c r="AS87" i="25" s="1"/>
  <c r="BK85" i="24"/>
  <c r="AS85" i="25" s="1"/>
  <c r="BK61" i="24"/>
  <c r="AS61" i="25" s="1"/>
  <c r="BK78" i="24"/>
  <c r="AS78" i="25" s="1"/>
  <c r="BK131" i="24"/>
  <c r="AS131" i="25" s="1"/>
  <c r="BK76" i="24"/>
  <c r="AS76" i="25" s="1"/>
  <c r="BL135" i="24"/>
  <c r="AT135" i="25" s="1"/>
  <c r="Z80" i="25"/>
  <c r="I17" i="23"/>
  <c r="BL11" i="24"/>
  <c r="AT11" i="25" s="1"/>
  <c r="BK97" i="24"/>
  <c r="AS97" i="25" s="1"/>
  <c r="BK128" i="24"/>
  <c r="AS128" i="25" s="1"/>
  <c r="BL119" i="24"/>
  <c r="AT119" i="25" s="1"/>
  <c r="BK47" i="24"/>
  <c r="AS47" i="25" s="1"/>
  <c r="BK12" i="24"/>
  <c r="AS12" i="25" s="1"/>
  <c r="BK79" i="24"/>
  <c r="AS79" i="25" s="1"/>
  <c r="M23" i="24"/>
  <c r="M30" i="24" s="1"/>
  <c r="C24" i="23"/>
  <c r="C32" i="23"/>
  <c r="C18" i="23"/>
  <c r="C27" i="23"/>
  <c r="C23" i="23"/>
  <c r="C21" i="23"/>
  <c r="C28" i="23"/>
  <c r="C31" i="23"/>
  <c r="C15" i="23"/>
  <c r="C19" i="23"/>
  <c r="C29" i="23"/>
  <c r="F27" i="23"/>
  <c r="H27" i="23" s="1"/>
  <c r="C22" i="23"/>
  <c r="C30" i="23"/>
  <c r="C20" i="23"/>
  <c r="C17" i="23"/>
  <c r="F17" i="23"/>
  <c r="C25" i="23"/>
  <c r="AJ74" i="25"/>
  <c r="BU74" i="24"/>
  <c r="BC74" i="25" s="1"/>
  <c r="AJ12" i="25"/>
  <c r="BU12" i="24"/>
  <c r="BC12" i="25" s="1"/>
  <c r="AJ42" i="25"/>
  <c r="BU42" i="24"/>
  <c r="BC42" i="25" s="1"/>
  <c r="V102" i="25"/>
  <c r="BG102" i="24"/>
  <c r="AO102" i="25" s="1"/>
  <c r="V71" i="25"/>
  <c r="BG71" i="24"/>
  <c r="AO71" i="25" s="1"/>
  <c r="Y97" i="25"/>
  <c r="BJ97" i="24"/>
  <c r="AR97" i="25" s="1"/>
  <c r="Y39" i="25"/>
  <c r="BJ39" i="24"/>
  <c r="AR39" i="25" s="1"/>
  <c r="AB128" i="25"/>
  <c r="BM128" i="24"/>
  <c r="AU128" i="25" s="1"/>
  <c r="AB25" i="25"/>
  <c r="BM25" i="24"/>
  <c r="AU25" i="25" s="1"/>
  <c r="AB22" i="25"/>
  <c r="BM22" i="24"/>
  <c r="AU22" i="25" s="1"/>
  <c r="AE102" i="25"/>
  <c r="BP102" i="24"/>
  <c r="AX102" i="25" s="1"/>
  <c r="AE127" i="25"/>
  <c r="BP127" i="24"/>
  <c r="AX127" i="25" s="1"/>
  <c r="AE128" i="25"/>
  <c r="BP128" i="24"/>
  <c r="AX128" i="25" s="1"/>
  <c r="AF87" i="25"/>
  <c r="BQ87" i="24"/>
  <c r="AY87" i="25" s="1"/>
  <c r="AF22" i="25"/>
  <c r="BQ22" i="24"/>
  <c r="AY22" i="25" s="1"/>
  <c r="AD130" i="25"/>
  <c r="BO130" i="24"/>
  <c r="AW130" i="25" s="1"/>
  <c r="AD111" i="25"/>
  <c r="BO111" i="24"/>
  <c r="AW111" i="25" s="1"/>
  <c r="AD84" i="25"/>
  <c r="BO84" i="24"/>
  <c r="AW84" i="25" s="1"/>
  <c r="AA69" i="25"/>
  <c r="BL69" i="24"/>
  <c r="AT69" i="25" s="1"/>
  <c r="Z8" i="25"/>
  <c r="BK8" i="24"/>
  <c r="AS8" i="25" s="1"/>
  <c r="Z136" i="25"/>
  <c r="BK136" i="24"/>
  <c r="AS136" i="25" s="1"/>
  <c r="Z20" i="25"/>
  <c r="BK20" i="24"/>
  <c r="AS20" i="25" s="1"/>
  <c r="Z74" i="25"/>
  <c r="BK74" i="24"/>
  <c r="AS74" i="25" s="1"/>
  <c r="AA28" i="25"/>
  <c r="BL28" i="24"/>
  <c r="AT28" i="25" s="1"/>
  <c r="AJ134" i="25"/>
  <c r="BU134" i="24"/>
  <c r="BC134" i="25" s="1"/>
  <c r="AJ29" i="25"/>
  <c r="BU29" i="24"/>
  <c r="BC29" i="25" s="1"/>
  <c r="AJ127" i="25"/>
  <c r="BU127" i="24"/>
  <c r="BC127" i="25" s="1"/>
  <c r="AJ99" i="25"/>
  <c r="BU99" i="24"/>
  <c r="BC99" i="25" s="1"/>
  <c r="AJ119" i="25"/>
  <c r="BU119" i="24"/>
  <c r="BC119" i="25" s="1"/>
  <c r="AJ93" i="25"/>
  <c r="BU93" i="24"/>
  <c r="BC93" i="25" s="1"/>
  <c r="V4" i="25"/>
  <c r="BG4" i="24"/>
  <c r="AO4" i="25" s="1"/>
  <c r="V86" i="25"/>
  <c r="BG86" i="24"/>
  <c r="AO86" i="25" s="1"/>
  <c r="V116" i="25"/>
  <c r="BG116" i="24"/>
  <c r="AO116" i="25" s="1"/>
  <c r="Y45" i="25"/>
  <c r="BJ45" i="24"/>
  <c r="AR45" i="25" s="1"/>
  <c r="Y121" i="25"/>
  <c r="BJ121" i="24"/>
  <c r="AR121" i="25" s="1"/>
  <c r="Y23" i="25"/>
  <c r="BJ23" i="24"/>
  <c r="AR23" i="25" s="1"/>
  <c r="Y124" i="25"/>
  <c r="BJ124" i="24"/>
  <c r="AR124" i="25" s="1"/>
  <c r="AB91" i="25"/>
  <c r="BM91" i="24"/>
  <c r="AU91" i="25" s="1"/>
  <c r="AB121" i="25"/>
  <c r="BM121" i="24"/>
  <c r="AU121" i="25" s="1"/>
  <c r="AB4" i="25"/>
  <c r="BM4" i="24"/>
  <c r="AU4" i="25" s="1"/>
  <c r="AE58" i="25"/>
  <c r="BP58" i="24"/>
  <c r="AX58" i="25" s="1"/>
  <c r="AE111" i="25"/>
  <c r="BP111" i="24"/>
  <c r="AX111" i="25" s="1"/>
  <c r="AE45" i="25"/>
  <c r="BP45" i="24"/>
  <c r="AX45" i="25" s="1"/>
  <c r="AE54" i="25"/>
  <c r="BP54" i="24"/>
  <c r="AX54" i="25" s="1"/>
  <c r="AF107" i="25"/>
  <c r="BQ107" i="24"/>
  <c r="AY107" i="25" s="1"/>
  <c r="AF93" i="25"/>
  <c r="BQ93" i="24"/>
  <c r="AY93" i="25" s="1"/>
  <c r="AF79" i="25"/>
  <c r="BQ79" i="24"/>
  <c r="AY79" i="25" s="1"/>
  <c r="AD116" i="25"/>
  <c r="BO116" i="24"/>
  <c r="AW116" i="25" s="1"/>
  <c r="AD102" i="25"/>
  <c r="BO102" i="24"/>
  <c r="AW102" i="25" s="1"/>
  <c r="AD59" i="25"/>
  <c r="BO59" i="24"/>
  <c r="AW59" i="25" s="1"/>
  <c r="AA50" i="25"/>
  <c r="BL50" i="24"/>
  <c r="AT50" i="25" s="1"/>
  <c r="Z89" i="25"/>
  <c r="BK89" i="24"/>
  <c r="AS89" i="25" s="1"/>
  <c r="AJ77" i="25"/>
  <c r="BU77" i="24"/>
  <c r="BC77" i="25" s="1"/>
  <c r="AJ54" i="25"/>
  <c r="BU54" i="24"/>
  <c r="BC54" i="25" s="1"/>
  <c r="AJ79" i="25"/>
  <c r="BU79" i="24"/>
  <c r="BC79" i="25" s="1"/>
  <c r="AJ94" i="25"/>
  <c r="BU94" i="24"/>
  <c r="BC94" i="25" s="1"/>
  <c r="V29" i="25"/>
  <c r="BG29" i="24"/>
  <c r="AO29" i="25" s="1"/>
  <c r="V117" i="25"/>
  <c r="BG117" i="24"/>
  <c r="AO117" i="25" s="1"/>
  <c r="V75" i="25"/>
  <c r="BG75" i="24"/>
  <c r="AO75" i="25" s="1"/>
  <c r="Y25" i="25"/>
  <c r="BJ25" i="24"/>
  <c r="AR25" i="25" s="1"/>
  <c r="Y12" i="25"/>
  <c r="BJ12" i="24"/>
  <c r="AR12" i="25" s="1"/>
  <c r="Y130" i="25"/>
  <c r="BJ130" i="24"/>
  <c r="AR130" i="25" s="1"/>
  <c r="Y113" i="25"/>
  <c r="BJ113" i="24"/>
  <c r="AR113" i="25" s="1"/>
  <c r="AB123" i="25"/>
  <c r="BM123" i="24"/>
  <c r="AU123" i="25" s="1"/>
  <c r="AB27" i="25"/>
  <c r="BM27" i="24"/>
  <c r="AU27" i="25" s="1"/>
  <c r="AB74" i="25"/>
  <c r="BM74" i="24"/>
  <c r="AU74" i="25" s="1"/>
  <c r="AB126" i="25"/>
  <c r="BM126" i="24"/>
  <c r="AU126" i="25" s="1"/>
  <c r="AE100" i="25"/>
  <c r="BP100" i="24"/>
  <c r="AX100" i="25" s="1"/>
  <c r="AE29" i="25"/>
  <c r="BP29" i="24"/>
  <c r="AX29" i="25" s="1"/>
  <c r="AE80" i="25"/>
  <c r="BP80" i="24"/>
  <c r="AX80" i="25" s="1"/>
  <c r="AE31" i="25"/>
  <c r="BP31" i="24"/>
  <c r="AX31" i="25" s="1"/>
  <c r="AE42" i="25"/>
  <c r="BP42" i="24"/>
  <c r="AX42" i="25" s="1"/>
  <c r="AF126" i="25"/>
  <c r="BQ126" i="24"/>
  <c r="AY126" i="25" s="1"/>
  <c r="AF14" i="25"/>
  <c r="BQ14" i="24"/>
  <c r="AY14" i="25" s="1"/>
  <c r="AF92" i="25"/>
  <c r="BQ92" i="24"/>
  <c r="AY92" i="25" s="1"/>
  <c r="AF109" i="25"/>
  <c r="BQ109" i="24"/>
  <c r="AY109" i="25" s="1"/>
  <c r="AF6" i="25"/>
  <c r="BQ6" i="24"/>
  <c r="AY6" i="25" s="1"/>
  <c r="AD75" i="25"/>
  <c r="BO75" i="24"/>
  <c r="AW75" i="25" s="1"/>
  <c r="AD57" i="25"/>
  <c r="BO57" i="24"/>
  <c r="AW57" i="25" s="1"/>
  <c r="AD10" i="25"/>
  <c r="BO10" i="24"/>
  <c r="AW10" i="25" s="1"/>
  <c r="AD60" i="25"/>
  <c r="BO60" i="24"/>
  <c r="AW60" i="25" s="1"/>
  <c r="AD31" i="25"/>
  <c r="BO31" i="24"/>
  <c r="AW31" i="25" s="1"/>
  <c r="AA60" i="25"/>
  <c r="BL60" i="24"/>
  <c r="AT60" i="25" s="1"/>
  <c r="AA30" i="25"/>
  <c r="BL30" i="24"/>
  <c r="AT30" i="25" s="1"/>
  <c r="AA61" i="25"/>
  <c r="BL61" i="24"/>
  <c r="AT61" i="25" s="1"/>
  <c r="Z39" i="25"/>
  <c r="BK39" i="24"/>
  <c r="AS39" i="25" s="1"/>
  <c r="AA48" i="25"/>
  <c r="BL48" i="24"/>
  <c r="AT48" i="25" s="1"/>
  <c r="Z95" i="25"/>
  <c r="BK95" i="24"/>
  <c r="AS95" i="25" s="1"/>
  <c r="Z83" i="25"/>
  <c r="BK83" i="24"/>
  <c r="AS83" i="25" s="1"/>
  <c r="Z90" i="25"/>
  <c r="BK90" i="24"/>
  <c r="AS90" i="25" s="1"/>
  <c r="Z102" i="25"/>
  <c r="BK102" i="24"/>
  <c r="AS102" i="25" s="1"/>
  <c r="AJ72" i="25"/>
  <c r="BU72" i="24"/>
  <c r="BC72" i="25" s="1"/>
  <c r="AJ4" i="25"/>
  <c r="BU4" i="24"/>
  <c r="BC4" i="25" s="1"/>
  <c r="AJ95" i="25"/>
  <c r="BU95" i="24"/>
  <c r="BC95" i="25" s="1"/>
  <c r="V41" i="25"/>
  <c r="BG41" i="24"/>
  <c r="AO41" i="25" s="1"/>
  <c r="V113" i="25"/>
  <c r="BG113" i="24"/>
  <c r="AO113" i="25" s="1"/>
  <c r="V121" i="25"/>
  <c r="BG121" i="24"/>
  <c r="AO121" i="25" s="1"/>
  <c r="V79" i="25"/>
  <c r="BG79" i="24"/>
  <c r="AO79" i="25" s="1"/>
  <c r="Y69" i="25"/>
  <c r="BJ69" i="24"/>
  <c r="AR69" i="25" s="1"/>
  <c r="Y85" i="25"/>
  <c r="BJ85" i="24"/>
  <c r="AR85" i="25" s="1"/>
  <c r="Y102" i="25"/>
  <c r="BJ102" i="24"/>
  <c r="AR102" i="25" s="1"/>
  <c r="AB15" i="25"/>
  <c r="BM15" i="24"/>
  <c r="AU15" i="25" s="1"/>
  <c r="AB79" i="25"/>
  <c r="BM79" i="24"/>
  <c r="AU79" i="25" s="1"/>
  <c r="AB130" i="25"/>
  <c r="BM130" i="24"/>
  <c r="AU130" i="25" s="1"/>
  <c r="AE130" i="25"/>
  <c r="BP130" i="24"/>
  <c r="AX130" i="25" s="1"/>
  <c r="AE70" i="25"/>
  <c r="BP70" i="24"/>
  <c r="AX70" i="25" s="1"/>
  <c r="AE92" i="25"/>
  <c r="BP92" i="24"/>
  <c r="AX92" i="25" s="1"/>
  <c r="AF74" i="25"/>
  <c r="BQ74" i="24"/>
  <c r="AY74" i="25" s="1"/>
  <c r="AF32" i="25"/>
  <c r="BQ32" i="24"/>
  <c r="AY32" i="25" s="1"/>
  <c r="AF95" i="25"/>
  <c r="BQ95" i="24"/>
  <c r="AY95" i="25" s="1"/>
  <c r="AF4" i="25"/>
  <c r="BQ4" i="24"/>
  <c r="AY4" i="25" s="1"/>
  <c r="AD38" i="25"/>
  <c r="BO38" i="24"/>
  <c r="AW38" i="25" s="1"/>
  <c r="AD66" i="25"/>
  <c r="BO66" i="24"/>
  <c r="AW66" i="25" s="1"/>
  <c r="AD35" i="25"/>
  <c r="BO35" i="24"/>
  <c r="AW35" i="25" s="1"/>
  <c r="Z43" i="25"/>
  <c r="BK43" i="24"/>
  <c r="AS43" i="25" s="1"/>
  <c r="Z113" i="25"/>
  <c r="BK113" i="24"/>
  <c r="AS113" i="25" s="1"/>
  <c r="Z51" i="25"/>
  <c r="BK51" i="24"/>
  <c r="AS51" i="25" s="1"/>
  <c r="Z22" i="25"/>
  <c r="BK22" i="24"/>
  <c r="AS22" i="25" s="1"/>
  <c r="AA68" i="25"/>
  <c r="BL68" i="24"/>
  <c r="AT68" i="25" s="1"/>
  <c r="Z127" i="25"/>
  <c r="BK127" i="24"/>
  <c r="AS127" i="25" s="1"/>
  <c r="AJ8" i="25"/>
  <c r="BU8" i="24"/>
  <c r="BC8" i="25" s="1"/>
  <c r="AJ76" i="25"/>
  <c r="BU76" i="24"/>
  <c r="BC76" i="25" s="1"/>
  <c r="AJ97" i="25"/>
  <c r="BU97" i="24"/>
  <c r="BC97" i="25" s="1"/>
  <c r="AJ57" i="25"/>
  <c r="BU57" i="24"/>
  <c r="BC57" i="25" s="1"/>
  <c r="V80" i="25"/>
  <c r="BG80" i="24"/>
  <c r="AO80" i="25" s="1"/>
  <c r="Y33" i="25"/>
  <c r="BJ33" i="24"/>
  <c r="AR33" i="25" s="1"/>
  <c r="Y68" i="25"/>
  <c r="BJ68" i="24"/>
  <c r="AR68" i="25" s="1"/>
  <c r="Y106" i="25"/>
  <c r="BJ106" i="24"/>
  <c r="AR106" i="25" s="1"/>
  <c r="Y88" i="25"/>
  <c r="BJ88" i="24"/>
  <c r="AR88" i="25" s="1"/>
  <c r="AB109" i="25"/>
  <c r="BM109" i="24"/>
  <c r="AU109" i="25" s="1"/>
  <c r="AB68" i="25"/>
  <c r="BM68" i="24"/>
  <c r="AU68" i="25" s="1"/>
  <c r="AB101" i="25"/>
  <c r="BM101" i="24"/>
  <c r="AU101" i="25" s="1"/>
  <c r="AE93" i="25"/>
  <c r="BP93" i="24"/>
  <c r="AX93" i="25" s="1"/>
  <c r="AE47" i="25"/>
  <c r="BP47" i="24"/>
  <c r="AX47" i="25" s="1"/>
  <c r="AE108" i="25"/>
  <c r="BP108" i="24"/>
  <c r="AX108" i="25" s="1"/>
  <c r="AF76" i="25"/>
  <c r="BQ76" i="24"/>
  <c r="AY76" i="25" s="1"/>
  <c r="AF84" i="25"/>
  <c r="BQ84" i="24"/>
  <c r="AY84" i="25" s="1"/>
  <c r="AF60" i="25"/>
  <c r="BQ60" i="24"/>
  <c r="AY60" i="25" s="1"/>
  <c r="AF125" i="25"/>
  <c r="BQ125" i="24"/>
  <c r="AY125" i="25" s="1"/>
  <c r="AD110" i="25"/>
  <c r="BO110" i="24"/>
  <c r="AW110" i="25" s="1"/>
  <c r="AD125" i="25"/>
  <c r="BO125" i="24"/>
  <c r="AW125" i="25" s="1"/>
  <c r="AD76" i="25"/>
  <c r="BO76" i="24"/>
  <c r="AW76" i="25" s="1"/>
  <c r="AD7" i="25"/>
  <c r="BO7" i="24"/>
  <c r="AW7" i="25" s="1"/>
  <c r="AA51" i="25"/>
  <c r="BL51" i="24"/>
  <c r="AT51" i="25" s="1"/>
  <c r="Z126" i="25"/>
  <c r="BK126" i="24"/>
  <c r="AS126" i="25" s="1"/>
  <c r="Z71" i="25"/>
  <c r="BK71" i="24"/>
  <c r="AS71" i="25" s="1"/>
  <c r="AA25" i="25"/>
  <c r="BL25" i="24"/>
  <c r="AT25" i="25" s="1"/>
  <c r="AA134" i="25"/>
  <c r="BL134" i="24"/>
  <c r="AT134" i="25" s="1"/>
  <c r="AE43" i="25"/>
  <c r="BP43" i="24"/>
  <c r="AX43" i="25" s="1"/>
  <c r="AJ64" i="25"/>
  <c r="BU64" i="24"/>
  <c r="BC64" i="25" s="1"/>
  <c r="AJ38" i="25"/>
  <c r="BU38" i="24"/>
  <c r="BC38" i="25" s="1"/>
  <c r="AJ30" i="25"/>
  <c r="BU30" i="24"/>
  <c r="BC30" i="25" s="1"/>
  <c r="AJ65" i="25"/>
  <c r="BU65" i="24"/>
  <c r="BC65" i="25" s="1"/>
  <c r="AJ50" i="25"/>
  <c r="BU50" i="24"/>
  <c r="BC50" i="25" s="1"/>
  <c r="AJ88" i="25"/>
  <c r="BU88" i="24"/>
  <c r="BC88" i="25" s="1"/>
  <c r="AJ15" i="25"/>
  <c r="BU15" i="24"/>
  <c r="BC15" i="25" s="1"/>
  <c r="AJ78" i="25"/>
  <c r="BU78" i="24"/>
  <c r="BC78" i="25" s="1"/>
  <c r="AJ25" i="25"/>
  <c r="BU25" i="24"/>
  <c r="BC25" i="25" s="1"/>
  <c r="AJ11" i="25"/>
  <c r="BU11" i="24"/>
  <c r="BC11" i="25" s="1"/>
  <c r="AJ129" i="25"/>
  <c r="BU129" i="24"/>
  <c r="BC129" i="25" s="1"/>
  <c r="V47" i="25"/>
  <c r="BG47" i="24"/>
  <c r="AO47" i="25" s="1"/>
  <c r="V18" i="25"/>
  <c r="BG18" i="24"/>
  <c r="AO18" i="25" s="1"/>
  <c r="V120" i="25"/>
  <c r="BG120" i="24"/>
  <c r="AO120" i="25" s="1"/>
  <c r="V100" i="25"/>
  <c r="BG100" i="24"/>
  <c r="AO100" i="25" s="1"/>
  <c r="V112" i="25"/>
  <c r="BG112" i="24"/>
  <c r="AO112" i="25" s="1"/>
  <c r="V108" i="25"/>
  <c r="BG108" i="24"/>
  <c r="AO108" i="25" s="1"/>
  <c r="V84" i="25"/>
  <c r="BG84" i="24"/>
  <c r="AO84" i="25" s="1"/>
  <c r="V37" i="25"/>
  <c r="BG37" i="24"/>
  <c r="AO37" i="25" s="1"/>
  <c r="V21" i="25"/>
  <c r="V6" i="25"/>
  <c r="BG6" i="24"/>
  <c r="AO6" i="25" s="1"/>
  <c r="V123" i="25"/>
  <c r="BG123" i="24"/>
  <c r="AO123" i="25" s="1"/>
  <c r="Y55" i="25"/>
  <c r="BJ55" i="24"/>
  <c r="AR55" i="25" s="1"/>
  <c r="Y107" i="25"/>
  <c r="BJ107" i="24"/>
  <c r="AR107" i="25" s="1"/>
  <c r="Y26" i="25"/>
  <c r="BJ26" i="24"/>
  <c r="AR26" i="25" s="1"/>
  <c r="Y87" i="25"/>
  <c r="BJ87" i="24"/>
  <c r="AR87" i="25" s="1"/>
  <c r="Y56" i="25"/>
  <c r="BJ56" i="24"/>
  <c r="AR56" i="25" s="1"/>
  <c r="Y84" i="25"/>
  <c r="BJ84" i="24"/>
  <c r="AR84" i="25" s="1"/>
  <c r="Y11" i="25"/>
  <c r="BJ11" i="24"/>
  <c r="AR11" i="25" s="1"/>
  <c r="Y75" i="25"/>
  <c r="BJ75" i="24"/>
  <c r="AR75" i="25" s="1"/>
  <c r="Y34" i="25"/>
  <c r="BJ34" i="24"/>
  <c r="AR34" i="25" s="1"/>
  <c r="Y18" i="25"/>
  <c r="BJ18" i="24"/>
  <c r="AR18" i="25" s="1"/>
  <c r="Y17" i="25"/>
  <c r="BJ17" i="24"/>
  <c r="AR17" i="25" s="1"/>
  <c r="Y16" i="25"/>
  <c r="BJ16" i="24"/>
  <c r="AR16" i="25" s="1"/>
  <c r="AB63" i="25"/>
  <c r="BM63" i="24"/>
  <c r="AU63" i="25" s="1"/>
  <c r="AB44" i="25"/>
  <c r="BM44" i="24"/>
  <c r="AU44" i="25" s="1"/>
  <c r="AB135" i="25"/>
  <c r="BM135" i="24"/>
  <c r="AU135" i="25" s="1"/>
  <c r="AB80" i="25"/>
  <c r="BM80" i="24"/>
  <c r="AU80" i="25" s="1"/>
  <c r="AB23" i="25"/>
  <c r="BM23" i="24"/>
  <c r="AU23" i="25" s="1"/>
  <c r="AB50" i="25"/>
  <c r="BM50" i="24"/>
  <c r="AU50" i="25" s="1"/>
  <c r="AB84" i="25"/>
  <c r="BM84" i="24"/>
  <c r="AU84" i="25" s="1"/>
  <c r="AB46" i="25"/>
  <c r="BM46" i="24"/>
  <c r="AU46" i="25" s="1"/>
  <c r="AB30" i="25"/>
  <c r="BM30" i="24"/>
  <c r="AU30" i="25" s="1"/>
  <c r="AB29" i="25"/>
  <c r="BM29" i="24"/>
  <c r="AU29" i="25" s="1"/>
  <c r="AB28" i="25"/>
  <c r="BM28" i="24"/>
  <c r="AU28" i="25" s="1"/>
  <c r="AE135" i="25"/>
  <c r="BP135" i="24"/>
  <c r="AX135" i="25" s="1"/>
  <c r="AE79" i="25"/>
  <c r="BP79" i="24"/>
  <c r="AX79" i="25" s="1"/>
  <c r="AE63" i="25"/>
  <c r="BP63" i="24"/>
  <c r="AX63" i="25" s="1"/>
  <c r="AE50" i="25"/>
  <c r="BP50" i="24"/>
  <c r="AX50" i="25" s="1"/>
  <c r="AE33" i="25"/>
  <c r="BP33" i="24"/>
  <c r="AX33" i="25" s="1"/>
  <c r="AE46" i="25"/>
  <c r="BP46" i="24"/>
  <c r="AX46" i="25" s="1"/>
  <c r="AE87" i="25"/>
  <c r="BP87" i="24"/>
  <c r="AX87" i="25" s="1"/>
  <c r="AE55" i="25"/>
  <c r="BP55" i="24"/>
  <c r="AX55" i="25" s="1"/>
  <c r="AE24" i="25"/>
  <c r="BP24" i="24"/>
  <c r="AX24" i="25" s="1"/>
  <c r="AE90" i="25"/>
  <c r="BP90" i="24"/>
  <c r="AX90" i="25" s="1"/>
  <c r="AE40" i="25"/>
  <c r="BP40" i="24"/>
  <c r="AX40" i="25" s="1"/>
  <c r="AF132" i="25"/>
  <c r="BQ132" i="24"/>
  <c r="AY132" i="25" s="1"/>
  <c r="AF10" i="25"/>
  <c r="BQ10" i="24"/>
  <c r="AY10" i="25" s="1"/>
  <c r="AF28" i="25"/>
  <c r="BQ28" i="24"/>
  <c r="AY28" i="25" s="1"/>
  <c r="AF11" i="25"/>
  <c r="BQ11" i="24"/>
  <c r="AY11" i="25" s="1"/>
  <c r="AF24" i="25"/>
  <c r="BQ24" i="24"/>
  <c r="AY24" i="25" s="1"/>
  <c r="AF20" i="25"/>
  <c r="BQ20" i="24"/>
  <c r="AY20" i="25" s="1"/>
  <c r="AF100" i="25"/>
  <c r="BQ100" i="24"/>
  <c r="AY100" i="25" s="1"/>
  <c r="AF52" i="25"/>
  <c r="BQ52" i="24"/>
  <c r="AY52" i="25" s="1"/>
  <c r="AF115" i="25"/>
  <c r="BQ115" i="24"/>
  <c r="AY115" i="25" s="1"/>
  <c r="AF54" i="25"/>
  <c r="BQ54" i="24"/>
  <c r="AY54" i="25" s="1"/>
  <c r="AF53" i="25"/>
  <c r="BQ53" i="24"/>
  <c r="AY53" i="25" s="1"/>
  <c r="AD44" i="25"/>
  <c r="BO44" i="24"/>
  <c r="AW44" i="25" s="1"/>
  <c r="AD121" i="25"/>
  <c r="BO121" i="24"/>
  <c r="AW121" i="25" s="1"/>
  <c r="AD105" i="25"/>
  <c r="BO105" i="24"/>
  <c r="AW105" i="25" s="1"/>
  <c r="AD70" i="25"/>
  <c r="BO70" i="24"/>
  <c r="AW70" i="25" s="1"/>
  <c r="AD5" i="25"/>
  <c r="BO5" i="24"/>
  <c r="AW5" i="25" s="1"/>
  <c r="AD18" i="25"/>
  <c r="BO18" i="24"/>
  <c r="AW18" i="25" s="1"/>
  <c r="AD82" i="25"/>
  <c r="BO82" i="24"/>
  <c r="AW82" i="25" s="1"/>
  <c r="AD9" i="25"/>
  <c r="BO9" i="24"/>
  <c r="AW9" i="25" s="1"/>
  <c r="AD108" i="25"/>
  <c r="BO108" i="24"/>
  <c r="AW108" i="25" s="1"/>
  <c r="AD95" i="25"/>
  <c r="BO95" i="24"/>
  <c r="AW95" i="25" s="1"/>
  <c r="AD79" i="25"/>
  <c r="BO79" i="24"/>
  <c r="AW79" i="25" s="1"/>
  <c r="AA110" i="25"/>
  <c r="BL110" i="24"/>
  <c r="AT110" i="25" s="1"/>
  <c r="AA70" i="25"/>
  <c r="BL70" i="24"/>
  <c r="AT70" i="25" s="1"/>
  <c r="AA75" i="25"/>
  <c r="BL75" i="24"/>
  <c r="AT75" i="25" s="1"/>
  <c r="AA122" i="25"/>
  <c r="BL122" i="24"/>
  <c r="AT122" i="25" s="1"/>
  <c r="AA111" i="25"/>
  <c r="BL111" i="24"/>
  <c r="AT111" i="25" s="1"/>
  <c r="Z99" i="25"/>
  <c r="BK99" i="24"/>
  <c r="AS99" i="25" s="1"/>
  <c r="Z34" i="25"/>
  <c r="BK34" i="24"/>
  <c r="AS34" i="25" s="1"/>
  <c r="Z93" i="25"/>
  <c r="BK93" i="24"/>
  <c r="AS93" i="25" s="1"/>
  <c r="AA85" i="25"/>
  <c r="BL85" i="24"/>
  <c r="AT85" i="25" s="1"/>
  <c r="Z120" i="25"/>
  <c r="BK120" i="24"/>
  <c r="AS120" i="25" s="1"/>
  <c r="AA32" i="25"/>
  <c r="BL32" i="24"/>
  <c r="AT32" i="25" s="1"/>
  <c r="Z35" i="25"/>
  <c r="BK35" i="24"/>
  <c r="AS35" i="25" s="1"/>
  <c r="AA86" i="25"/>
  <c r="BL86" i="24"/>
  <c r="AT86" i="25" s="1"/>
  <c r="Z14" i="25"/>
  <c r="BK14" i="24"/>
  <c r="AS14" i="25" s="1"/>
  <c r="AA125" i="25"/>
  <c r="BL125" i="24"/>
  <c r="AT125" i="25" s="1"/>
  <c r="AA24" i="25"/>
  <c r="BL24" i="24"/>
  <c r="AT24" i="25" s="1"/>
  <c r="AA83" i="25"/>
  <c r="BL83" i="24"/>
  <c r="AT83" i="25" s="1"/>
  <c r="Z135" i="25"/>
  <c r="BK135" i="24"/>
  <c r="AS135" i="25" s="1"/>
  <c r="V17" i="25"/>
  <c r="BG17" i="24"/>
  <c r="AO17" i="25" s="1"/>
  <c r="AB98" i="25"/>
  <c r="BM98" i="24"/>
  <c r="AU98" i="25" s="1"/>
  <c r="AF71" i="25"/>
  <c r="BQ71" i="24"/>
  <c r="AY71" i="25" s="1"/>
  <c r="AA76" i="25"/>
  <c r="BL76" i="24"/>
  <c r="AT76" i="25" s="1"/>
  <c r="AJ60" i="25"/>
  <c r="BU60" i="24"/>
  <c r="BC60" i="25" s="1"/>
  <c r="AJ102" i="25"/>
  <c r="BU102" i="24"/>
  <c r="BC102" i="25" s="1"/>
  <c r="AJ121" i="25"/>
  <c r="BU121" i="24"/>
  <c r="BC121" i="25" s="1"/>
  <c r="AJ36" i="25"/>
  <c r="BU36" i="24"/>
  <c r="BC36" i="25" s="1"/>
  <c r="AJ18" i="25"/>
  <c r="BU18" i="24"/>
  <c r="BC18" i="25" s="1"/>
  <c r="AJ68" i="25"/>
  <c r="BU68" i="24"/>
  <c r="BC68" i="25" s="1"/>
  <c r="AJ133" i="25"/>
  <c r="BU133" i="24"/>
  <c r="BC133" i="25" s="1"/>
  <c r="AJ62" i="25"/>
  <c r="BU62" i="24"/>
  <c r="BC62" i="25" s="1"/>
  <c r="AJ13" i="25"/>
  <c r="BU13" i="24"/>
  <c r="BC13" i="25" s="1"/>
  <c r="AJ130" i="25"/>
  <c r="BU130" i="24"/>
  <c r="BC130" i="25" s="1"/>
  <c r="AJ117" i="25"/>
  <c r="BU117" i="24"/>
  <c r="BC117" i="25" s="1"/>
  <c r="V38" i="25"/>
  <c r="BG38" i="24"/>
  <c r="AO38" i="25" s="1"/>
  <c r="V78" i="25"/>
  <c r="BG78" i="24"/>
  <c r="AO78" i="25" s="1"/>
  <c r="V59" i="25"/>
  <c r="BG59" i="24"/>
  <c r="AO59" i="25" s="1"/>
  <c r="V25" i="25"/>
  <c r="BG25" i="24"/>
  <c r="AO25" i="25" s="1"/>
  <c r="V7" i="25"/>
  <c r="BG7" i="24"/>
  <c r="AO7" i="25" s="1"/>
  <c r="V127" i="25"/>
  <c r="BG127" i="24"/>
  <c r="AO127" i="25" s="1"/>
  <c r="V111" i="25"/>
  <c r="BG111" i="24"/>
  <c r="AO111" i="25" s="1"/>
  <c r="Y117" i="25"/>
  <c r="BJ117" i="24"/>
  <c r="AR117" i="25" s="1"/>
  <c r="Y71" i="25"/>
  <c r="BJ71" i="24"/>
  <c r="AR71" i="25" s="1"/>
  <c r="Y133" i="25"/>
  <c r="BJ133" i="24"/>
  <c r="AR133" i="25" s="1"/>
  <c r="Y51" i="25"/>
  <c r="BJ51" i="24"/>
  <c r="AR51" i="25" s="1"/>
  <c r="Y37" i="25"/>
  <c r="BJ37" i="24"/>
  <c r="AR37" i="25" s="1"/>
  <c r="Y67" i="25"/>
  <c r="BJ67" i="24"/>
  <c r="AR67" i="25" s="1"/>
  <c r="Y132" i="25"/>
  <c r="BJ132" i="24"/>
  <c r="AR132" i="25" s="1"/>
  <c r="Y59" i="25"/>
  <c r="BJ59" i="24"/>
  <c r="AR59" i="25" s="1"/>
  <c r="Y22" i="25"/>
  <c r="BJ22" i="24"/>
  <c r="AR22" i="25" s="1"/>
  <c r="Y6" i="25"/>
  <c r="BJ6" i="24"/>
  <c r="AR6" i="25" s="1"/>
  <c r="Y5" i="25"/>
  <c r="BJ5" i="24"/>
  <c r="AR5" i="25" s="1"/>
  <c r="AB43" i="25"/>
  <c r="BM43" i="24"/>
  <c r="AU43" i="25" s="1"/>
  <c r="AB62" i="25"/>
  <c r="BM62" i="24"/>
  <c r="AU62" i="25" s="1"/>
  <c r="AB19" i="25"/>
  <c r="BM19" i="24"/>
  <c r="AU19" i="25" s="1"/>
  <c r="AB111" i="25"/>
  <c r="BM111" i="24"/>
  <c r="AU111" i="25" s="1"/>
  <c r="AB55" i="25"/>
  <c r="BM55" i="24"/>
  <c r="AU55" i="25" s="1"/>
  <c r="AB129" i="25"/>
  <c r="BM129" i="24"/>
  <c r="AU129" i="25" s="1"/>
  <c r="AB33" i="25"/>
  <c r="BM33" i="24"/>
  <c r="AU33" i="25" s="1"/>
  <c r="AB67" i="25"/>
  <c r="BM67" i="24"/>
  <c r="AU67" i="25" s="1"/>
  <c r="AB34" i="25"/>
  <c r="BM34" i="24"/>
  <c r="AU34" i="25" s="1"/>
  <c r="AB18" i="25"/>
  <c r="BM18" i="24"/>
  <c r="AU18" i="25" s="1"/>
  <c r="AB17" i="25"/>
  <c r="BM17" i="24"/>
  <c r="AU17" i="25" s="1"/>
  <c r="AB16" i="25"/>
  <c r="BM16" i="24"/>
  <c r="AU16" i="25" s="1"/>
  <c r="AE131" i="25"/>
  <c r="BP131" i="24"/>
  <c r="AX131" i="25" s="1"/>
  <c r="AE35" i="25"/>
  <c r="BP35" i="24"/>
  <c r="AX35" i="25" s="1"/>
  <c r="AE13" i="25"/>
  <c r="BP13" i="24"/>
  <c r="AX13" i="25" s="1"/>
  <c r="AE17" i="25"/>
  <c r="BP17" i="24"/>
  <c r="AX17" i="25" s="1"/>
  <c r="AE12" i="25"/>
  <c r="BP12" i="24"/>
  <c r="AX12" i="25" s="1"/>
  <c r="AE23" i="25"/>
  <c r="BP23" i="24"/>
  <c r="AX23" i="25" s="1"/>
  <c r="AE73" i="25"/>
  <c r="BP73" i="24"/>
  <c r="AX73" i="25" s="1"/>
  <c r="AE39" i="25"/>
  <c r="BP39" i="24"/>
  <c r="AX39" i="25" s="1"/>
  <c r="AE10" i="25"/>
  <c r="BP10" i="24"/>
  <c r="AX10" i="25" s="1"/>
  <c r="AE78" i="25"/>
  <c r="BP78" i="24"/>
  <c r="AX78" i="25" s="1"/>
  <c r="AE28" i="25"/>
  <c r="BP28" i="24"/>
  <c r="AX28" i="25" s="1"/>
  <c r="AF128" i="25"/>
  <c r="BQ128" i="24"/>
  <c r="AY128" i="25" s="1"/>
  <c r="AF108" i="25"/>
  <c r="BQ108" i="24"/>
  <c r="AY108" i="25" s="1"/>
  <c r="AF121" i="25"/>
  <c r="BQ121" i="24"/>
  <c r="AY121" i="25" s="1"/>
  <c r="AF122" i="25"/>
  <c r="BQ122" i="24"/>
  <c r="AY122" i="25" s="1"/>
  <c r="AF135" i="25"/>
  <c r="BQ135" i="24"/>
  <c r="AY135" i="25" s="1"/>
  <c r="AF134" i="25"/>
  <c r="BQ134" i="24"/>
  <c r="AY134" i="25" s="1"/>
  <c r="AF86" i="25"/>
  <c r="BQ86" i="24"/>
  <c r="AY86" i="25" s="1"/>
  <c r="AF37" i="25"/>
  <c r="BQ37" i="24"/>
  <c r="AY37" i="25" s="1"/>
  <c r="AF103" i="25"/>
  <c r="BQ103" i="24"/>
  <c r="AY103" i="25" s="1"/>
  <c r="AF42" i="25"/>
  <c r="BQ42" i="24"/>
  <c r="AY42" i="25" s="1"/>
  <c r="AF41" i="25"/>
  <c r="BQ41" i="24"/>
  <c r="AY41" i="25" s="1"/>
  <c r="AD41" i="25"/>
  <c r="BO41" i="24"/>
  <c r="AW41" i="25" s="1"/>
  <c r="AD77" i="25"/>
  <c r="BO77" i="24"/>
  <c r="AW77" i="25" s="1"/>
  <c r="AD68" i="25"/>
  <c r="BO68" i="24"/>
  <c r="AW68" i="25" s="1"/>
  <c r="AD42" i="25"/>
  <c r="BO42" i="24"/>
  <c r="AW42" i="25" s="1"/>
  <c r="AD4" i="25"/>
  <c r="BO4" i="24"/>
  <c r="AW4" i="25" s="1"/>
  <c r="AD135" i="25"/>
  <c r="BO135" i="24"/>
  <c r="AW135" i="25" s="1"/>
  <c r="AD65" i="25"/>
  <c r="BO65" i="24"/>
  <c r="AW65" i="25" s="1"/>
  <c r="AD136" i="25"/>
  <c r="BO136" i="24"/>
  <c r="AW136" i="25" s="1"/>
  <c r="AD96" i="25"/>
  <c r="BO96" i="24"/>
  <c r="AW96" i="25" s="1"/>
  <c r="AD83" i="25"/>
  <c r="BO83" i="24"/>
  <c r="AW83" i="25" s="1"/>
  <c r="AD67" i="25"/>
  <c r="BO67" i="24"/>
  <c r="AW67" i="25" s="1"/>
  <c r="AA45" i="25"/>
  <c r="BL45" i="24"/>
  <c r="AT45" i="25" s="1"/>
  <c r="AA73" i="25"/>
  <c r="BL73" i="24"/>
  <c r="AT73" i="25" s="1"/>
  <c r="AA63" i="25"/>
  <c r="BL63" i="24"/>
  <c r="AT63" i="25" s="1"/>
  <c r="AA88" i="25"/>
  <c r="BL88" i="24"/>
  <c r="AT88" i="25" s="1"/>
  <c r="AA96" i="25"/>
  <c r="BL96" i="24"/>
  <c r="AT96" i="25" s="1"/>
  <c r="AA118" i="25"/>
  <c r="BL118" i="24"/>
  <c r="AT118" i="25" s="1"/>
  <c r="Z57" i="25"/>
  <c r="BK57" i="24"/>
  <c r="AS57" i="25" s="1"/>
  <c r="Z37" i="25"/>
  <c r="BK37" i="24"/>
  <c r="AS37" i="25" s="1"/>
  <c r="Z40" i="25"/>
  <c r="BK40" i="24"/>
  <c r="AS40" i="25" s="1"/>
  <c r="AA99" i="25"/>
  <c r="BL99" i="24"/>
  <c r="AT99" i="25" s="1"/>
  <c r="Z105" i="25"/>
  <c r="BK105" i="24"/>
  <c r="AS105" i="25" s="1"/>
  <c r="AA128" i="25"/>
  <c r="BL128" i="24"/>
  <c r="AT128" i="25" s="1"/>
  <c r="Z69" i="25"/>
  <c r="BK69" i="24"/>
  <c r="AS69" i="25" s="1"/>
  <c r="AA26" i="25"/>
  <c r="BL26" i="24"/>
  <c r="AT26" i="25" s="1"/>
  <c r="Z5" i="25"/>
  <c r="BK5" i="24"/>
  <c r="AS5" i="25" s="1"/>
  <c r="AA102" i="25"/>
  <c r="BL102" i="24"/>
  <c r="AT102" i="25" s="1"/>
  <c r="AA79" i="25"/>
  <c r="BL79" i="24"/>
  <c r="AT79" i="25" s="1"/>
  <c r="AA14" i="25"/>
  <c r="BL14" i="24"/>
  <c r="AT14" i="25" s="1"/>
  <c r="AJ105" i="25"/>
  <c r="BU105" i="24"/>
  <c r="BC105" i="25" s="1"/>
  <c r="Y4" i="25"/>
  <c r="BJ4" i="24"/>
  <c r="AR4" i="25" s="1"/>
  <c r="AF112" i="25"/>
  <c r="BQ112" i="24"/>
  <c r="AY112" i="25" s="1"/>
  <c r="AB113" i="25"/>
  <c r="BM113" i="24"/>
  <c r="AU113" i="25" s="1"/>
  <c r="AJ126" i="25"/>
  <c r="BU126" i="24"/>
  <c r="BC126" i="25" s="1"/>
  <c r="AJ135" i="25"/>
  <c r="BU135" i="24"/>
  <c r="BC135" i="25" s="1"/>
  <c r="AJ101" i="25"/>
  <c r="BU101" i="24"/>
  <c r="BC101" i="25" s="1"/>
  <c r="AJ84" i="25"/>
  <c r="BU84" i="24"/>
  <c r="BC84" i="25" s="1"/>
  <c r="AJ56" i="25"/>
  <c r="BU56" i="24"/>
  <c r="BC56" i="25" s="1"/>
  <c r="AJ103" i="25"/>
  <c r="BU103" i="24"/>
  <c r="BC103" i="25" s="1"/>
  <c r="AJ27" i="25"/>
  <c r="BU27" i="24"/>
  <c r="BC27" i="25" s="1"/>
  <c r="AJ85" i="25"/>
  <c r="BU85" i="24"/>
  <c r="BC85" i="25" s="1"/>
  <c r="AJ71" i="25"/>
  <c r="BU71" i="24"/>
  <c r="BC71" i="25" s="1"/>
  <c r="AJ58" i="25"/>
  <c r="BU58" i="24"/>
  <c r="BC58" i="25" s="1"/>
  <c r="AJ45" i="25"/>
  <c r="BU45" i="24"/>
  <c r="BC45" i="25" s="1"/>
  <c r="BG122" i="24"/>
  <c r="AO122" i="25" s="1"/>
  <c r="V88" i="25"/>
  <c r="BG88" i="24"/>
  <c r="AO88" i="25" s="1"/>
  <c r="V97" i="25"/>
  <c r="BG97" i="24"/>
  <c r="AO97" i="25" s="1"/>
  <c r="V81" i="25"/>
  <c r="BG81" i="24"/>
  <c r="AO81" i="25" s="1"/>
  <c r="V39" i="25"/>
  <c r="BG39" i="24"/>
  <c r="AO39" i="25" s="1"/>
  <c r="Y44" i="25"/>
  <c r="BJ44" i="24"/>
  <c r="AR44" i="25" s="1"/>
  <c r="Y38" i="25"/>
  <c r="BJ38" i="24"/>
  <c r="AR38" i="25" s="1"/>
  <c r="Y57" i="25"/>
  <c r="BJ57" i="24"/>
  <c r="AR57" i="25" s="1"/>
  <c r="Y14" i="25"/>
  <c r="BJ14" i="24"/>
  <c r="AR14" i="25" s="1"/>
  <c r="Y49" i="25"/>
  <c r="BJ49" i="24"/>
  <c r="AR49" i="25" s="1"/>
  <c r="Y99" i="25"/>
  <c r="BJ99" i="24"/>
  <c r="AR99" i="25" s="1"/>
  <c r="Y24" i="25"/>
  <c r="BJ24" i="24"/>
  <c r="AR24" i="25" s="1"/>
  <c r="Y94" i="25"/>
  <c r="BJ94" i="24"/>
  <c r="AR94" i="25" s="1"/>
  <c r="Y78" i="25"/>
  <c r="BJ78" i="24"/>
  <c r="AR78" i="25" s="1"/>
  <c r="Y77" i="25"/>
  <c r="BJ77" i="24"/>
  <c r="AR77" i="25" s="1"/>
  <c r="Y76" i="25"/>
  <c r="BJ76" i="24"/>
  <c r="AR76" i="25" s="1"/>
  <c r="AB73" i="25"/>
  <c r="BM73" i="24"/>
  <c r="AU73" i="25" s="1"/>
  <c r="AB117" i="25"/>
  <c r="BM117" i="24"/>
  <c r="AU117" i="25" s="1"/>
  <c r="AB115" i="25"/>
  <c r="BM115" i="24"/>
  <c r="AU115" i="25" s="1"/>
  <c r="AB81" i="25"/>
  <c r="BM81" i="24"/>
  <c r="AU81" i="25" s="1"/>
  <c r="AB24" i="25"/>
  <c r="BM24" i="24"/>
  <c r="AU24" i="25" s="1"/>
  <c r="AB21" i="25"/>
  <c r="BM21" i="24"/>
  <c r="AU21" i="25" s="1"/>
  <c r="AB49" i="25"/>
  <c r="BM49" i="24"/>
  <c r="AU49" i="25" s="1"/>
  <c r="AB106" i="25"/>
  <c r="BM106" i="24"/>
  <c r="AU106" i="25" s="1"/>
  <c r="AB90" i="25"/>
  <c r="BM90" i="24"/>
  <c r="AU90" i="25" s="1"/>
  <c r="AB89" i="25"/>
  <c r="BM89" i="24"/>
  <c r="AU89" i="25" s="1"/>
  <c r="AB88" i="25"/>
  <c r="BM88" i="24"/>
  <c r="AU88" i="25" s="1"/>
  <c r="AE57" i="25"/>
  <c r="BP57" i="24"/>
  <c r="AX57" i="25" s="1"/>
  <c r="AE37" i="25"/>
  <c r="BP37" i="24"/>
  <c r="AX37" i="25" s="1"/>
  <c r="AE27" i="25"/>
  <c r="BP27" i="24"/>
  <c r="AX27" i="25" s="1"/>
  <c r="AE84" i="25"/>
  <c r="BP84" i="24"/>
  <c r="AX84" i="25" s="1"/>
  <c r="AE134" i="25"/>
  <c r="BP134" i="24"/>
  <c r="AX134" i="25" s="1"/>
  <c r="AE26" i="25"/>
  <c r="BP26" i="24"/>
  <c r="AX26" i="25" s="1"/>
  <c r="AE22" i="25"/>
  <c r="BP22" i="24"/>
  <c r="AX22" i="25" s="1"/>
  <c r="AE121" i="25"/>
  <c r="BP121" i="24"/>
  <c r="AX121" i="25" s="1"/>
  <c r="AE96" i="25"/>
  <c r="BP96" i="24"/>
  <c r="AX96" i="25" s="1"/>
  <c r="AE62" i="25"/>
  <c r="BP62" i="24"/>
  <c r="AX62" i="25" s="1"/>
  <c r="AE6" i="25"/>
  <c r="BP6" i="24"/>
  <c r="AX6" i="25" s="1"/>
  <c r="AF39" i="25"/>
  <c r="BQ39" i="24"/>
  <c r="AY39" i="25" s="1"/>
  <c r="AF124" i="25"/>
  <c r="BQ124" i="24"/>
  <c r="AY124" i="25" s="1"/>
  <c r="AF104" i="25"/>
  <c r="BQ104" i="24"/>
  <c r="AY104" i="25" s="1"/>
  <c r="AF50" i="25"/>
  <c r="BQ50" i="24"/>
  <c r="AY50" i="25" s="1"/>
  <c r="AF136" i="25"/>
  <c r="BQ136" i="24"/>
  <c r="AY136" i="25" s="1"/>
  <c r="AF133" i="25"/>
  <c r="BQ133" i="24"/>
  <c r="AY133" i="25" s="1"/>
  <c r="AF45" i="25"/>
  <c r="BQ45" i="24"/>
  <c r="AY45" i="25" s="1"/>
  <c r="AF129" i="25"/>
  <c r="BQ129" i="24"/>
  <c r="AY129" i="25" s="1"/>
  <c r="AF63" i="25"/>
  <c r="BQ63" i="24"/>
  <c r="AY63" i="25" s="1"/>
  <c r="AF31" i="25"/>
  <c r="BQ31" i="24"/>
  <c r="AY31" i="25" s="1"/>
  <c r="AF113" i="25"/>
  <c r="BQ113" i="24"/>
  <c r="AY113" i="25" s="1"/>
  <c r="AD92" i="25"/>
  <c r="BO92" i="24"/>
  <c r="AW92" i="25" s="1"/>
  <c r="AD122" i="25"/>
  <c r="BO122" i="24"/>
  <c r="AW122" i="25" s="1"/>
  <c r="AD74" i="25"/>
  <c r="BO74" i="24"/>
  <c r="AW74" i="25" s="1"/>
  <c r="AD98" i="25"/>
  <c r="BO98" i="24"/>
  <c r="AW98" i="25" s="1"/>
  <c r="AD6" i="25"/>
  <c r="BO6" i="24"/>
  <c r="AW6" i="25" s="1"/>
  <c r="AD109" i="25"/>
  <c r="BO109" i="24"/>
  <c r="AW109" i="25" s="1"/>
  <c r="AD30" i="25"/>
  <c r="BO30" i="24"/>
  <c r="AW30" i="25" s="1"/>
  <c r="AD99" i="25"/>
  <c r="BO99" i="24"/>
  <c r="AW99" i="25" s="1"/>
  <c r="AD64" i="25"/>
  <c r="BO64" i="24"/>
  <c r="AW64" i="25" s="1"/>
  <c r="AD24" i="25"/>
  <c r="BO24" i="24"/>
  <c r="AW24" i="25" s="1"/>
  <c r="AD11" i="25"/>
  <c r="BO11" i="24"/>
  <c r="AW11" i="25" s="1"/>
  <c r="AA129" i="25"/>
  <c r="BL129" i="24"/>
  <c r="AT129" i="25" s="1"/>
  <c r="AA101" i="25"/>
  <c r="BL101" i="24"/>
  <c r="AT101" i="25" s="1"/>
  <c r="AA64" i="25"/>
  <c r="BL64" i="24"/>
  <c r="AT64" i="25" s="1"/>
  <c r="AA91" i="25"/>
  <c r="BL91" i="24"/>
  <c r="AT91" i="25" s="1"/>
  <c r="AA117" i="25"/>
  <c r="BL117" i="24"/>
  <c r="AT117" i="25" s="1"/>
  <c r="Z88" i="25"/>
  <c r="BK88" i="24"/>
  <c r="AS88" i="25" s="1"/>
  <c r="Z25" i="25"/>
  <c r="BK25" i="24"/>
  <c r="AS25" i="25" s="1"/>
  <c r="AA84" i="25"/>
  <c r="BL84" i="24"/>
  <c r="AT84" i="25" s="1"/>
  <c r="Z7" i="25"/>
  <c r="BK7" i="24"/>
  <c r="AS7" i="25" s="1"/>
  <c r="AA113" i="25"/>
  <c r="BL113" i="24"/>
  <c r="AT113" i="25" s="1"/>
  <c r="AA15" i="25"/>
  <c r="BL15" i="24"/>
  <c r="AT15" i="25" s="1"/>
  <c r="Z82" i="25"/>
  <c r="BK82" i="24"/>
  <c r="AS82" i="25" s="1"/>
  <c r="AA116" i="25"/>
  <c r="BL116" i="24"/>
  <c r="AT116" i="25" s="1"/>
  <c r="Z52" i="25"/>
  <c r="BK52" i="24"/>
  <c r="AS52" i="25" s="1"/>
  <c r="Z26" i="25"/>
  <c r="BK26" i="24"/>
  <c r="AS26" i="25" s="1"/>
  <c r="Z121" i="25"/>
  <c r="BK121" i="24"/>
  <c r="AS121" i="25" s="1"/>
  <c r="AA115" i="25"/>
  <c r="BL115" i="24"/>
  <c r="AT115" i="25" s="1"/>
  <c r="Z23" i="25"/>
  <c r="BK23" i="24"/>
  <c r="AS23" i="25" s="1"/>
  <c r="AA42" i="25"/>
  <c r="BL42" i="24"/>
  <c r="AT42" i="25" s="1"/>
  <c r="AJ115" i="25"/>
  <c r="BU115" i="24"/>
  <c r="BC115" i="25" s="1"/>
  <c r="Y20" i="25"/>
  <c r="BJ20" i="24"/>
  <c r="AR20" i="25" s="1"/>
  <c r="AE16" i="25"/>
  <c r="BP16" i="24"/>
  <c r="AX16" i="25" s="1"/>
  <c r="AE94" i="25"/>
  <c r="BP94" i="24"/>
  <c r="AX94" i="25" s="1"/>
  <c r="AJ41" i="25"/>
  <c r="BU41" i="24"/>
  <c r="BC41" i="25" s="1"/>
  <c r="AJ91" i="25"/>
  <c r="BU91" i="24"/>
  <c r="BC91" i="25" s="1"/>
  <c r="AJ55" i="25"/>
  <c r="BU55" i="24"/>
  <c r="BC55" i="25" s="1"/>
  <c r="AJ53" i="25"/>
  <c r="BU53" i="24"/>
  <c r="BC53" i="25" s="1"/>
  <c r="AJ40" i="25"/>
  <c r="BU40" i="24"/>
  <c r="BC40" i="25" s="1"/>
  <c r="AJ87" i="25"/>
  <c r="BU87" i="24"/>
  <c r="BC87" i="25" s="1"/>
  <c r="AJ7" i="25"/>
  <c r="BU7" i="24"/>
  <c r="BC7" i="25" s="1"/>
  <c r="AJ73" i="25"/>
  <c r="BU73" i="24"/>
  <c r="BC73" i="25" s="1"/>
  <c r="AJ59" i="25"/>
  <c r="BU59" i="24"/>
  <c r="BC59" i="25" s="1"/>
  <c r="AJ46" i="25"/>
  <c r="BU46" i="24"/>
  <c r="BC46" i="25" s="1"/>
  <c r="AJ33" i="25"/>
  <c r="BU33" i="24"/>
  <c r="BC33" i="25" s="1"/>
  <c r="V101" i="25"/>
  <c r="V85" i="25"/>
  <c r="BG85" i="24"/>
  <c r="AO85" i="25" s="1"/>
  <c r="V69" i="25"/>
  <c r="BG69" i="24"/>
  <c r="AO69" i="25" s="1"/>
  <c r="V56" i="25"/>
  <c r="BG56" i="24"/>
  <c r="AO56" i="25" s="1"/>
  <c r="Y8" i="25"/>
  <c r="BJ8" i="24"/>
  <c r="AR8" i="25" s="1"/>
  <c r="Y36" i="25"/>
  <c r="BJ36" i="24"/>
  <c r="AR36" i="25" s="1"/>
  <c r="Y21" i="25"/>
  <c r="BJ21" i="24"/>
  <c r="AR21" i="25" s="1"/>
  <c r="Y128" i="25"/>
  <c r="BJ128" i="24"/>
  <c r="AR128" i="25" s="1"/>
  <c r="Y32" i="25"/>
  <c r="BJ32" i="24"/>
  <c r="AR32" i="25" s="1"/>
  <c r="Y83" i="25"/>
  <c r="BJ83" i="24"/>
  <c r="AR83" i="25" s="1"/>
  <c r="Y7" i="25"/>
  <c r="BJ7" i="24"/>
  <c r="AR7" i="25" s="1"/>
  <c r="Y82" i="25"/>
  <c r="BJ82" i="24"/>
  <c r="AR82" i="25" s="1"/>
  <c r="Y66" i="25"/>
  <c r="BJ66" i="24"/>
  <c r="AR66" i="25" s="1"/>
  <c r="Y65" i="25"/>
  <c r="BJ65" i="24"/>
  <c r="AR65" i="25" s="1"/>
  <c r="Y64" i="25"/>
  <c r="BJ64" i="24"/>
  <c r="AR64" i="25" s="1"/>
  <c r="AB71" i="25"/>
  <c r="BM71" i="24"/>
  <c r="AU71" i="25" s="1"/>
  <c r="AB37" i="25"/>
  <c r="BM37" i="24"/>
  <c r="AU37" i="25" s="1"/>
  <c r="AB87" i="25"/>
  <c r="BM87" i="24"/>
  <c r="AU87" i="25" s="1"/>
  <c r="AB56" i="25"/>
  <c r="BM56" i="24"/>
  <c r="AU56" i="25" s="1"/>
  <c r="AB131" i="25"/>
  <c r="BM131" i="24"/>
  <c r="AU131" i="25" s="1"/>
  <c r="AB122" i="25"/>
  <c r="BM122" i="24"/>
  <c r="AU122" i="25" s="1"/>
  <c r="AB32" i="25"/>
  <c r="BM32" i="24"/>
  <c r="AU32" i="25" s="1"/>
  <c r="AB94" i="25"/>
  <c r="BM94" i="24"/>
  <c r="AU94" i="25" s="1"/>
  <c r="AB78" i="25"/>
  <c r="BM78" i="24"/>
  <c r="AU78" i="25" s="1"/>
  <c r="AB77" i="25"/>
  <c r="BM77" i="24"/>
  <c r="AU77" i="25" s="1"/>
  <c r="AB76" i="25"/>
  <c r="BM76" i="24"/>
  <c r="AU76" i="25" s="1"/>
  <c r="AE99" i="25"/>
  <c r="BP99" i="24"/>
  <c r="AX99" i="25" s="1"/>
  <c r="AE129" i="25"/>
  <c r="BP129" i="24"/>
  <c r="AX129" i="25" s="1"/>
  <c r="AE117" i="25"/>
  <c r="BP117" i="24"/>
  <c r="AX117" i="25" s="1"/>
  <c r="AE51" i="25"/>
  <c r="BP51" i="24"/>
  <c r="AX51" i="25" s="1"/>
  <c r="AE115" i="25"/>
  <c r="BP115" i="24"/>
  <c r="AX115" i="25" s="1"/>
  <c r="AE126" i="25"/>
  <c r="BP126" i="24"/>
  <c r="AX126" i="25" s="1"/>
  <c r="AE4" i="25"/>
  <c r="BP4" i="24"/>
  <c r="AX4" i="25" s="1"/>
  <c r="AE109" i="25"/>
  <c r="BP109" i="24"/>
  <c r="AX109" i="25" s="1"/>
  <c r="AE82" i="25"/>
  <c r="BP82" i="24"/>
  <c r="AX82" i="25" s="1"/>
  <c r="AE48" i="25"/>
  <c r="BP48" i="24"/>
  <c r="AX48" i="25" s="1"/>
  <c r="AE88" i="25"/>
  <c r="BP88" i="24"/>
  <c r="AX88" i="25" s="1"/>
  <c r="AF35" i="25"/>
  <c r="BQ35" i="24"/>
  <c r="AY35" i="25" s="1"/>
  <c r="AF73" i="25"/>
  <c r="BQ73" i="24"/>
  <c r="AY73" i="25" s="1"/>
  <c r="AF40" i="25"/>
  <c r="BQ40" i="24"/>
  <c r="AY40" i="25" s="1"/>
  <c r="AF13" i="25"/>
  <c r="BQ13" i="24"/>
  <c r="AY13" i="25" s="1"/>
  <c r="AF117" i="25"/>
  <c r="BQ117" i="24"/>
  <c r="AY117" i="25" s="1"/>
  <c r="AF111" i="25"/>
  <c r="BQ111" i="24"/>
  <c r="AY111" i="25" s="1"/>
  <c r="AF27" i="25"/>
  <c r="BQ27" i="24"/>
  <c r="AY27" i="25" s="1"/>
  <c r="AF114" i="25"/>
  <c r="BQ114" i="24"/>
  <c r="AY114" i="25" s="1"/>
  <c r="AF48" i="25"/>
  <c r="BQ48" i="24"/>
  <c r="AY48" i="25" s="1"/>
  <c r="AF19" i="25"/>
  <c r="BQ19" i="24"/>
  <c r="AY19" i="25" s="1"/>
  <c r="AF101" i="25"/>
  <c r="BQ101" i="24"/>
  <c r="AY101" i="25" s="1"/>
  <c r="AD53" i="25"/>
  <c r="BO53" i="24"/>
  <c r="AW53" i="25" s="1"/>
  <c r="AD129" i="25"/>
  <c r="BO129" i="24"/>
  <c r="AW129" i="25" s="1"/>
  <c r="AD26" i="25"/>
  <c r="BO26" i="24"/>
  <c r="AW26" i="25" s="1"/>
  <c r="AD56" i="25"/>
  <c r="BO56" i="24"/>
  <c r="AW56" i="25" s="1"/>
  <c r="AD113" i="25"/>
  <c r="BO113" i="24"/>
  <c r="AW113" i="25" s="1"/>
  <c r="AD90" i="25"/>
  <c r="BO90" i="24"/>
  <c r="AW90" i="25" s="1"/>
  <c r="AD13" i="25"/>
  <c r="BO13" i="24"/>
  <c r="AW13" i="25" s="1"/>
  <c r="AD81" i="25"/>
  <c r="BO81" i="24"/>
  <c r="AW81" i="25" s="1"/>
  <c r="AD52" i="25"/>
  <c r="BO52" i="24"/>
  <c r="AW52" i="25" s="1"/>
  <c r="AD12" i="25"/>
  <c r="BO12" i="24"/>
  <c r="AW12" i="25" s="1"/>
  <c r="AD127" i="25"/>
  <c r="BO127" i="24"/>
  <c r="AW127" i="25" s="1"/>
  <c r="AA127" i="25"/>
  <c r="BL127" i="24"/>
  <c r="AT127" i="25" s="1"/>
  <c r="AA39" i="25"/>
  <c r="BL39" i="24"/>
  <c r="AT39" i="25" s="1"/>
  <c r="AA36" i="25"/>
  <c r="BL36" i="24"/>
  <c r="AT36" i="25" s="1"/>
  <c r="AA93" i="25"/>
  <c r="BL93" i="24"/>
  <c r="AT93" i="25" s="1"/>
  <c r="AA98" i="25"/>
  <c r="BL98" i="24"/>
  <c r="AT98" i="25" s="1"/>
  <c r="Z53" i="25"/>
  <c r="BK53" i="24"/>
  <c r="AS53" i="25" s="1"/>
  <c r="Z84" i="25"/>
  <c r="BK84" i="24"/>
  <c r="AS84" i="25" s="1"/>
  <c r="Z41" i="25"/>
  <c r="BK41" i="24"/>
  <c r="AS41" i="25" s="1"/>
  <c r="AA10" i="25"/>
  <c r="BL10" i="24"/>
  <c r="AT10" i="25" s="1"/>
  <c r="Z63" i="25"/>
  <c r="BK63" i="24"/>
  <c r="AS63" i="25" s="1"/>
  <c r="AA124" i="25"/>
  <c r="BL124" i="24"/>
  <c r="AT124" i="25" s="1"/>
  <c r="Z10" i="25"/>
  <c r="BK10" i="24"/>
  <c r="AS10" i="25" s="1"/>
  <c r="Z16" i="25"/>
  <c r="BK16" i="24"/>
  <c r="AS16" i="25" s="1"/>
  <c r="Z45" i="25"/>
  <c r="BK45" i="24"/>
  <c r="AS45" i="25" s="1"/>
  <c r="Z46" i="25"/>
  <c r="BK46" i="24"/>
  <c r="AS46" i="25" s="1"/>
  <c r="AA19" i="25"/>
  <c r="BL19" i="24"/>
  <c r="AT19" i="25" s="1"/>
  <c r="Z70" i="25"/>
  <c r="BK70" i="24"/>
  <c r="AS70" i="25" s="1"/>
  <c r="AA120" i="25"/>
  <c r="BL120" i="24"/>
  <c r="AT120" i="25" s="1"/>
  <c r="Y115" i="25"/>
  <c r="BJ115" i="24"/>
  <c r="AR115" i="25" s="1"/>
  <c r="AE49" i="25"/>
  <c r="BP49" i="24"/>
  <c r="AX49" i="25" s="1"/>
  <c r="AJ110" i="25"/>
  <c r="BU110" i="24"/>
  <c r="BC110" i="25" s="1"/>
  <c r="AJ44" i="25"/>
  <c r="BU44" i="24"/>
  <c r="BC44" i="25" s="1"/>
  <c r="AJ5" i="25"/>
  <c r="BU5" i="24"/>
  <c r="BC5" i="25" s="1"/>
  <c r="AJ19" i="25"/>
  <c r="BU19" i="24"/>
  <c r="BC19" i="25" s="1"/>
  <c r="AJ20" i="25"/>
  <c r="BU20" i="24"/>
  <c r="BC20" i="25" s="1"/>
  <c r="AJ67" i="25"/>
  <c r="BU67" i="24"/>
  <c r="BC67" i="25" s="1"/>
  <c r="AJ132" i="25"/>
  <c r="BU132" i="24"/>
  <c r="BC132" i="25" s="1"/>
  <c r="AJ61" i="25"/>
  <c r="BU61" i="24"/>
  <c r="BC61" i="25" s="1"/>
  <c r="AJ47" i="25"/>
  <c r="BU47" i="24"/>
  <c r="BC47" i="25" s="1"/>
  <c r="AJ34" i="25"/>
  <c r="BU34" i="24"/>
  <c r="BC34" i="25" s="1"/>
  <c r="AJ21" i="25"/>
  <c r="BU21" i="24"/>
  <c r="BC21" i="25" s="1"/>
  <c r="V82" i="25"/>
  <c r="BG82" i="24"/>
  <c r="AO82" i="25" s="1"/>
  <c r="V57" i="25"/>
  <c r="V44" i="25"/>
  <c r="BG44" i="24"/>
  <c r="AO44" i="25" s="1"/>
  <c r="V31" i="25"/>
  <c r="V13" i="25"/>
  <c r="BG13" i="24"/>
  <c r="AO13" i="25" s="1"/>
  <c r="Y74" i="25"/>
  <c r="BJ74" i="24"/>
  <c r="AR74" i="25" s="1"/>
  <c r="Y134" i="25"/>
  <c r="BJ134" i="24"/>
  <c r="AR134" i="25" s="1"/>
  <c r="Y91" i="25"/>
  <c r="BJ91" i="24"/>
  <c r="AR91" i="25" s="1"/>
  <c r="Y109" i="25"/>
  <c r="BJ109" i="24"/>
  <c r="AR109" i="25" s="1"/>
  <c r="Y13" i="25"/>
  <c r="BJ13" i="24"/>
  <c r="AR13" i="25" s="1"/>
  <c r="Y63" i="25"/>
  <c r="BJ63" i="24"/>
  <c r="AR63" i="25" s="1"/>
  <c r="Y131" i="25"/>
  <c r="BJ131" i="24"/>
  <c r="AR131" i="25" s="1"/>
  <c r="Y70" i="25"/>
  <c r="BJ70" i="24"/>
  <c r="AR70" i="25" s="1"/>
  <c r="Y54" i="25"/>
  <c r="BJ54" i="24"/>
  <c r="AR54" i="25" s="1"/>
  <c r="Y53" i="25"/>
  <c r="BJ53" i="24"/>
  <c r="AR53" i="25" s="1"/>
  <c r="Y52" i="25"/>
  <c r="BJ52" i="24"/>
  <c r="AR52" i="25" s="1"/>
  <c r="AB95" i="25"/>
  <c r="BM95" i="24"/>
  <c r="AU95" i="25" s="1"/>
  <c r="AB127" i="25"/>
  <c r="BM127" i="24"/>
  <c r="AU127" i="25" s="1"/>
  <c r="AB60" i="25"/>
  <c r="BM60" i="24"/>
  <c r="AU60" i="25" s="1"/>
  <c r="AB26" i="25"/>
  <c r="BM26" i="24"/>
  <c r="AU26" i="25" s="1"/>
  <c r="AB99" i="25"/>
  <c r="BM99" i="24"/>
  <c r="AU99" i="25" s="1"/>
  <c r="AB105" i="25"/>
  <c r="BM105" i="24"/>
  <c r="AU105" i="25" s="1"/>
  <c r="AB13" i="25"/>
  <c r="BM13" i="24"/>
  <c r="AU13" i="25" s="1"/>
  <c r="AB82" i="25"/>
  <c r="BM82" i="24"/>
  <c r="AU82" i="25" s="1"/>
  <c r="AB64" i="25"/>
  <c r="BM64" i="24"/>
  <c r="AU64" i="25" s="1"/>
  <c r="AE85" i="25"/>
  <c r="BP85" i="24"/>
  <c r="AX85" i="25" s="1"/>
  <c r="AE71" i="25"/>
  <c r="BP71" i="24"/>
  <c r="AX71" i="25" s="1"/>
  <c r="AE19" i="25"/>
  <c r="BP19" i="24"/>
  <c r="AX19" i="25" s="1"/>
  <c r="AE98" i="25"/>
  <c r="BP98" i="24"/>
  <c r="AX98" i="25" s="1"/>
  <c r="AE107" i="25"/>
  <c r="BP107" i="24"/>
  <c r="AX107" i="25" s="1"/>
  <c r="AE125" i="25"/>
  <c r="BP125" i="24"/>
  <c r="AX125" i="25" s="1"/>
  <c r="AE97" i="25"/>
  <c r="BP97" i="24"/>
  <c r="AX97" i="25" s="1"/>
  <c r="AE68" i="25"/>
  <c r="BP68" i="24"/>
  <c r="AX68" i="25" s="1"/>
  <c r="AE34" i="25"/>
  <c r="BP34" i="24"/>
  <c r="AX34" i="25" s="1"/>
  <c r="AE76" i="25"/>
  <c r="BP76" i="24"/>
  <c r="AX76" i="25" s="1"/>
  <c r="AF82" i="25"/>
  <c r="BQ82" i="24"/>
  <c r="AY82" i="25" s="1"/>
  <c r="AF16" i="25"/>
  <c r="BQ16" i="24"/>
  <c r="AY16" i="25" s="1"/>
  <c r="AF131" i="25"/>
  <c r="BQ131" i="24"/>
  <c r="AY131" i="25" s="1"/>
  <c r="AF118" i="25"/>
  <c r="BQ118" i="24"/>
  <c r="AY118" i="25" s="1"/>
  <c r="AF94" i="25"/>
  <c r="BQ94" i="24"/>
  <c r="AY94" i="25" s="1"/>
  <c r="AF90" i="25"/>
  <c r="BQ90" i="24"/>
  <c r="AY90" i="25" s="1"/>
  <c r="AF12" i="25"/>
  <c r="BQ12" i="24"/>
  <c r="AY12" i="25" s="1"/>
  <c r="AF99" i="25"/>
  <c r="BQ99" i="24"/>
  <c r="AY99" i="25" s="1"/>
  <c r="AF33" i="25"/>
  <c r="BQ33" i="24"/>
  <c r="AY33" i="25" s="1"/>
  <c r="AF7" i="25"/>
  <c r="BQ7" i="24"/>
  <c r="AY7" i="25" s="1"/>
  <c r="AF89" i="25"/>
  <c r="BQ89" i="24"/>
  <c r="AY89" i="25" s="1"/>
  <c r="AD50" i="25"/>
  <c r="BO50" i="24"/>
  <c r="AW50" i="25" s="1"/>
  <c r="AD93" i="25"/>
  <c r="BO93" i="24"/>
  <c r="AW93" i="25" s="1"/>
  <c r="AD106" i="25"/>
  <c r="BO106" i="24"/>
  <c r="AW106" i="25" s="1"/>
  <c r="AD20" i="25"/>
  <c r="BO20" i="24"/>
  <c r="AW20" i="25" s="1"/>
  <c r="AD87" i="25"/>
  <c r="BO87" i="24"/>
  <c r="AW87" i="25" s="1"/>
  <c r="AD73" i="25"/>
  <c r="BO73" i="24"/>
  <c r="AW73" i="25" s="1"/>
  <c r="AD134" i="25"/>
  <c r="BO134" i="24"/>
  <c r="AW134" i="25" s="1"/>
  <c r="AD63" i="25"/>
  <c r="BO63" i="24"/>
  <c r="AW63" i="25" s="1"/>
  <c r="AD40" i="25"/>
  <c r="BO40" i="24"/>
  <c r="AW40" i="25" s="1"/>
  <c r="AD131" i="25"/>
  <c r="BO131" i="24"/>
  <c r="AW131" i="25" s="1"/>
  <c r="AD115" i="25"/>
  <c r="BO115" i="24"/>
  <c r="AW115" i="25" s="1"/>
  <c r="AA103" i="25"/>
  <c r="BL103" i="24"/>
  <c r="AT103" i="25" s="1"/>
  <c r="AA52" i="25"/>
  <c r="BL52" i="24"/>
  <c r="AT52" i="25" s="1"/>
  <c r="AA81" i="25"/>
  <c r="BL81" i="24"/>
  <c r="AT81" i="25" s="1"/>
  <c r="AA77" i="25"/>
  <c r="BL77" i="24"/>
  <c r="AT77" i="25" s="1"/>
  <c r="Z112" i="25"/>
  <c r="BK112" i="24"/>
  <c r="AS112" i="25" s="1"/>
  <c r="Z67" i="25"/>
  <c r="BK67" i="24"/>
  <c r="AS67" i="25" s="1"/>
  <c r="Z100" i="25"/>
  <c r="BK100" i="24"/>
  <c r="AS100" i="25" s="1"/>
  <c r="AA105" i="25"/>
  <c r="BL105" i="24"/>
  <c r="AT105" i="25" s="1"/>
  <c r="Z4" i="25"/>
  <c r="BK4" i="24"/>
  <c r="AS4" i="25" s="1"/>
  <c r="AA37" i="25"/>
  <c r="BL37" i="24"/>
  <c r="AT37" i="25" s="1"/>
  <c r="AA27" i="25"/>
  <c r="BL27" i="24"/>
  <c r="AT27" i="25" s="1"/>
  <c r="AA9" i="25"/>
  <c r="BL9" i="24"/>
  <c r="AT9" i="25" s="1"/>
  <c r="Z17" i="25"/>
  <c r="BK17" i="24"/>
  <c r="AS17" i="25" s="1"/>
  <c r="AA17" i="25"/>
  <c r="BL17" i="24"/>
  <c r="AT17" i="25" s="1"/>
  <c r="Z9" i="25"/>
  <c r="BK9" i="24"/>
  <c r="AS9" i="25" s="1"/>
  <c r="Z54" i="25"/>
  <c r="BK54" i="24"/>
  <c r="AS54" i="25" s="1"/>
  <c r="Z30" i="25"/>
  <c r="BK30" i="24"/>
  <c r="AS30" i="25" s="1"/>
  <c r="AJ17" i="25"/>
  <c r="BU17" i="24"/>
  <c r="BC17" i="25" s="1"/>
  <c r="AJ52" i="25"/>
  <c r="BU52" i="24"/>
  <c r="BC52" i="25" s="1"/>
  <c r="AJ118" i="25"/>
  <c r="BU118" i="24"/>
  <c r="BC118" i="25" s="1"/>
  <c r="V98" i="25"/>
  <c r="BG98" i="24"/>
  <c r="AO98" i="25" s="1"/>
  <c r="Y35" i="25"/>
  <c r="BJ35" i="24"/>
  <c r="AR35" i="25" s="1"/>
  <c r="Y48" i="25"/>
  <c r="BJ48" i="24"/>
  <c r="AR48" i="25" s="1"/>
  <c r="Y136" i="25"/>
  <c r="BJ136" i="24"/>
  <c r="AR136" i="25" s="1"/>
  <c r="AB83" i="25"/>
  <c r="BM83" i="24"/>
  <c r="AU83" i="25" s="1"/>
  <c r="AB110" i="25"/>
  <c r="BM110" i="24"/>
  <c r="AU110" i="25" s="1"/>
  <c r="AB48" i="25"/>
  <c r="BM48" i="24"/>
  <c r="AU48" i="25" s="1"/>
  <c r="AB5" i="25"/>
  <c r="BM5" i="24"/>
  <c r="AU5" i="25" s="1"/>
  <c r="AE7" i="25"/>
  <c r="BP7" i="24"/>
  <c r="AX7" i="25" s="1"/>
  <c r="AE122" i="25"/>
  <c r="BP122" i="24"/>
  <c r="AX122" i="25" s="1"/>
  <c r="AE136" i="25"/>
  <c r="BP136" i="24"/>
  <c r="AX136" i="25" s="1"/>
  <c r="AE59" i="25"/>
  <c r="BP59" i="24"/>
  <c r="AX59" i="25" s="1"/>
  <c r="AE25" i="25"/>
  <c r="BP25" i="24"/>
  <c r="AX25" i="25" s="1"/>
  <c r="AF96" i="25"/>
  <c r="BQ96" i="24"/>
  <c r="AY96" i="25" s="1"/>
  <c r="AF61" i="25"/>
  <c r="BQ61" i="24"/>
  <c r="AY61" i="25" s="1"/>
  <c r="AF120" i="25"/>
  <c r="BQ120" i="24"/>
  <c r="AY120" i="25" s="1"/>
  <c r="AF30" i="25"/>
  <c r="BQ30" i="24"/>
  <c r="AY30" i="25" s="1"/>
  <c r="AF29" i="25"/>
  <c r="BQ29" i="24"/>
  <c r="AY29" i="25" s="1"/>
  <c r="AD22" i="25"/>
  <c r="BO22" i="24"/>
  <c r="AW22" i="25" s="1"/>
  <c r="AD17" i="25"/>
  <c r="BO17" i="24"/>
  <c r="AW17" i="25" s="1"/>
  <c r="AD46" i="25"/>
  <c r="BO46" i="24"/>
  <c r="AW46" i="25" s="1"/>
  <c r="AD124" i="25"/>
  <c r="BO124" i="24"/>
  <c r="AW124" i="25" s="1"/>
  <c r="AD55" i="25"/>
  <c r="BO55" i="24"/>
  <c r="AW55" i="25" s="1"/>
  <c r="AA47" i="25"/>
  <c r="BL47" i="24"/>
  <c r="AT47" i="25" s="1"/>
  <c r="AA56" i="25"/>
  <c r="BL56" i="24"/>
  <c r="AT56" i="25" s="1"/>
  <c r="AA66" i="25"/>
  <c r="BL66" i="24"/>
  <c r="AT66" i="25" s="1"/>
  <c r="AA8" i="25"/>
  <c r="BL8" i="24"/>
  <c r="AT8" i="25" s="1"/>
  <c r="AA55" i="25"/>
  <c r="BL55" i="24"/>
  <c r="AT55" i="25" s="1"/>
  <c r="AA133" i="25"/>
  <c r="BL133" i="24"/>
  <c r="AT133" i="25" s="1"/>
  <c r="Z15" i="25"/>
  <c r="BK15" i="24"/>
  <c r="AS15" i="25" s="1"/>
  <c r="AJ100" i="25"/>
  <c r="BU100" i="24"/>
  <c r="BC100" i="25" s="1"/>
  <c r="AJ86" i="25"/>
  <c r="BU86" i="24"/>
  <c r="BC86" i="25" s="1"/>
  <c r="AJ32" i="25"/>
  <c r="BU32" i="24"/>
  <c r="BC32" i="25" s="1"/>
  <c r="AJ26" i="25"/>
  <c r="BU26" i="24"/>
  <c r="BC26" i="25" s="1"/>
  <c r="AJ106" i="25"/>
  <c r="BU106" i="24"/>
  <c r="BC106" i="25" s="1"/>
  <c r="V83" i="25"/>
  <c r="BG83" i="24"/>
  <c r="AO83" i="25" s="1"/>
  <c r="V16" i="25"/>
  <c r="BG16" i="24"/>
  <c r="AO16" i="25" s="1"/>
  <c r="V23" i="25"/>
  <c r="BG23" i="24"/>
  <c r="AO23" i="25" s="1"/>
  <c r="V103" i="25"/>
  <c r="BG103" i="24"/>
  <c r="AO103" i="25" s="1"/>
  <c r="Y61" i="25"/>
  <c r="BJ61" i="24"/>
  <c r="AR61" i="25" s="1"/>
  <c r="Y31" i="25"/>
  <c r="BJ31" i="24"/>
  <c r="AR31" i="25" s="1"/>
  <c r="Y126" i="25"/>
  <c r="BJ126" i="24"/>
  <c r="AR126" i="25" s="1"/>
  <c r="AB20" i="25"/>
  <c r="BM20" i="24"/>
  <c r="AU20" i="25" s="1"/>
  <c r="AB132" i="25"/>
  <c r="BM132" i="24"/>
  <c r="AU132" i="25" s="1"/>
  <c r="AB31" i="25"/>
  <c r="BM31" i="24"/>
  <c r="AU31" i="25" s="1"/>
  <c r="AB136" i="25"/>
  <c r="BM136" i="24"/>
  <c r="AU136" i="25" s="1"/>
  <c r="AE74" i="25"/>
  <c r="BP74" i="24"/>
  <c r="AX74" i="25" s="1"/>
  <c r="AE110" i="25"/>
  <c r="BP110" i="24"/>
  <c r="AX110" i="25" s="1"/>
  <c r="AE11" i="25"/>
  <c r="BP11" i="24"/>
  <c r="AX11" i="25" s="1"/>
  <c r="AF51" i="25"/>
  <c r="BQ51" i="24"/>
  <c r="AY51" i="25" s="1"/>
  <c r="AF106" i="25"/>
  <c r="BQ106" i="24"/>
  <c r="AY106" i="25" s="1"/>
  <c r="AF123" i="25"/>
  <c r="BQ123" i="24"/>
  <c r="AY123" i="25" s="1"/>
  <c r="AF17" i="25"/>
  <c r="BQ17" i="24"/>
  <c r="AY17" i="25" s="1"/>
  <c r="AD104" i="25"/>
  <c r="BO104" i="24"/>
  <c r="AW104" i="25" s="1"/>
  <c r="AD86" i="25"/>
  <c r="BO86" i="24"/>
  <c r="AW86" i="25" s="1"/>
  <c r="AD112" i="25"/>
  <c r="BO112" i="24"/>
  <c r="AW112" i="25" s="1"/>
  <c r="AD43" i="25"/>
  <c r="BO43" i="24"/>
  <c r="AW43" i="25" s="1"/>
  <c r="AA62" i="25"/>
  <c r="BL62" i="24"/>
  <c r="AT62" i="25" s="1"/>
  <c r="AA49" i="25"/>
  <c r="BL49" i="24"/>
  <c r="AT49" i="25" s="1"/>
  <c r="Z114" i="25"/>
  <c r="BK114" i="24"/>
  <c r="AS114" i="25" s="1"/>
  <c r="AA7" i="25"/>
  <c r="BL7" i="24"/>
  <c r="AT7" i="25" s="1"/>
  <c r="Z122" i="25"/>
  <c r="BK122" i="24"/>
  <c r="AS122" i="25" s="1"/>
  <c r="Z49" i="25"/>
  <c r="BK49" i="24"/>
  <c r="AS49" i="25" s="1"/>
  <c r="Z77" i="25"/>
  <c r="BK77" i="24"/>
  <c r="AS77" i="25" s="1"/>
  <c r="AJ120" i="25"/>
  <c r="BU120" i="24"/>
  <c r="BC120" i="25" s="1"/>
  <c r="AJ16" i="25"/>
  <c r="BU16" i="24"/>
  <c r="BC16" i="25" s="1"/>
  <c r="AJ107" i="25"/>
  <c r="BU107" i="24"/>
  <c r="BC107" i="25" s="1"/>
  <c r="V62" i="25"/>
  <c r="BG62" i="24"/>
  <c r="AO62" i="25" s="1"/>
  <c r="V133" i="25"/>
  <c r="BG133" i="24"/>
  <c r="AO133" i="25" s="1"/>
  <c r="V91" i="25"/>
  <c r="BG91" i="24"/>
  <c r="AO91" i="25" s="1"/>
  <c r="Y105" i="25"/>
  <c r="BJ105" i="24"/>
  <c r="AR105" i="25" s="1"/>
  <c r="Y104" i="25"/>
  <c r="BJ104" i="24"/>
  <c r="AR104" i="25" s="1"/>
  <c r="Y114" i="25"/>
  <c r="BJ114" i="24"/>
  <c r="AR114" i="25" s="1"/>
  <c r="AB96" i="25"/>
  <c r="BM96" i="24"/>
  <c r="AU96" i="25" s="1"/>
  <c r="AB107" i="25"/>
  <c r="BM107" i="24"/>
  <c r="AU107" i="25" s="1"/>
  <c r="AB12" i="25"/>
  <c r="BM12" i="24"/>
  <c r="AU12" i="25" s="1"/>
  <c r="AB124" i="25"/>
  <c r="BM124" i="24"/>
  <c r="AU124" i="25" s="1"/>
  <c r="AE61" i="25"/>
  <c r="BP61" i="24"/>
  <c r="AX61" i="25" s="1"/>
  <c r="AE86" i="25"/>
  <c r="BP86" i="24"/>
  <c r="AX86" i="25" s="1"/>
  <c r="AE104" i="25"/>
  <c r="BP104" i="24"/>
  <c r="AX104" i="25" s="1"/>
  <c r="AF59" i="25"/>
  <c r="BQ59" i="24"/>
  <c r="AY59" i="25" s="1"/>
  <c r="AF69" i="25"/>
  <c r="BQ69" i="24"/>
  <c r="AY69" i="25" s="1"/>
  <c r="AF67" i="25"/>
  <c r="BQ67" i="24"/>
  <c r="AY67" i="25" s="1"/>
  <c r="AD128" i="25"/>
  <c r="BO128" i="24"/>
  <c r="AW128" i="25" s="1"/>
  <c r="AD89" i="25"/>
  <c r="BO89" i="24"/>
  <c r="AW89" i="25" s="1"/>
  <c r="AD100" i="25"/>
  <c r="BO100" i="24"/>
  <c r="AW100" i="25" s="1"/>
  <c r="AA33" i="25"/>
  <c r="BL33" i="24"/>
  <c r="AT33" i="25" s="1"/>
  <c r="Z19" i="25"/>
  <c r="BK19" i="24"/>
  <c r="AS19" i="25" s="1"/>
  <c r="AA44" i="25"/>
  <c r="BL44" i="24"/>
  <c r="AT44" i="25" s="1"/>
  <c r="AA112" i="25"/>
  <c r="BL112" i="24"/>
  <c r="AT112" i="25" s="1"/>
  <c r="Z31" i="25"/>
  <c r="BK31" i="24"/>
  <c r="AS31" i="25" s="1"/>
  <c r="AJ90" i="25"/>
  <c r="BU90" i="24"/>
  <c r="BC90" i="25" s="1"/>
  <c r="AJ92" i="25"/>
  <c r="BU92" i="24"/>
  <c r="BC92" i="25" s="1"/>
  <c r="AJ109" i="25"/>
  <c r="BU109" i="24"/>
  <c r="BC109" i="25" s="1"/>
  <c r="AJ69" i="25"/>
  <c r="BU69" i="24"/>
  <c r="BC69" i="25" s="1"/>
  <c r="V46" i="25"/>
  <c r="BG46" i="24"/>
  <c r="AO46" i="25" s="1"/>
  <c r="V92" i="25"/>
  <c r="BG92" i="24"/>
  <c r="AO92" i="25" s="1"/>
  <c r="Y116" i="25"/>
  <c r="BJ116" i="24"/>
  <c r="AR116" i="25" s="1"/>
  <c r="Y86" i="25"/>
  <c r="BJ86" i="24"/>
  <c r="AR86" i="25" s="1"/>
  <c r="Y135" i="25"/>
  <c r="BJ135" i="24"/>
  <c r="AR135" i="25" s="1"/>
  <c r="Y118" i="25"/>
  <c r="BJ118" i="24"/>
  <c r="AR118" i="25" s="1"/>
  <c r="Y100" i="25"/>
  <c r="BJ100" i="24"/>
  <c r="AR100" i="25" s="1"/>
  <c r="AB119" i="25"/>
  <c r="BM119" i="24"/>
  <c r="AU119" i="25" s="1"/>
  <c r="AB134" i="25"/>
  <c r="BM134" i="24"/>
  <c r="AU134" i="25" s="1"/>
  <c r="AB85" i="25"/>
  <c r="BM85" i="24"/>
  <c r="AU85" i="25" s="1"/>
  <c r="AB112" i="25"/>
  <c r="BM112" i="24"/>
  <c r="AU112" i="25" s="1"/>
  <c r="AE32" i="25"/>
  <c r="BP32" i="24"/>
  <c r="AX32" i="25" s="1"/>
  <c r="AE65" i="25"/>
  <c r="BP65" i="24"/>
  <c r="AX65" i="25" s="1"/>
  <c r="AE120" i="25"/>
  <c r="BP120" i="24"/>
  <c r="AX120" i="25" s="1"/>
  <c r="AF88" i="25"/>
  <c r="BQ88" i="24"/>
  <c r="AY88" i="25" s="1"/>
  <c r="AF119" i="25"/>
  <c r="BQ119" i="24"/>
  <c r="AY119" i="25" s="1"/>
  <c r="AF46" i="25"/>
  <c r="BQ46" i="24"/>
  <c r="AY46" i="25" s="1"/>
  <c r="AF23" i="25"/>
  <c r="BQ23" i="24"/>
  <c r="AY23" i="25" s="1"/>
  <c r="AF55" i="25"/>
  <c r="BQ55" i="24"/>
  <c r="AY55" i="25" s="1"/>
  <c r="AD8" i="25"/>
  <c r="BO8" i="24"/>
  <c r="AW8" i="25" s="1"/>
  <c r="AD21" i="25"/>
  <c r="BO21" i="24"/>
  <c r="AW21" i="25" s="1"/>
  <c r="AD32" i="25"/>
  <c r="BO32" i="24"/>
  <c r="AW32" i="25" s="1"/>
  <c r="AD133" i="25"/>
  <c r="BO133" i="24"/>
  <c r="AW133" i="25" s="1"/>
  <c r="AD48" i="25"/>
  <c r="BO48" i="24"/>
  <c r="AW48" i="25" s="1"/>
  <c r="AD19" i="25"/>
  <c r="BO19" i="24"/>
  <c r="AW19" i="25" s="1"/>
  <c r="AA12" i="25"/>
  <c r="BL12" i="24"/>
  <c r="AT12" i="25" s="1"/>
  <c r="AA107" i="25"/>
  <c r="BL107" i="24"/>
  <c r="AT107" i="25" s="1"/>
  <c r="Z60" i="25"/>
  <c r="BK60" i="24"/>
  <c r="AS60" i="25" s="1"/>
  <c r="AA23" i="25"/>
  <c r="BL23" i="24"/>
  <c r="AT23" i="25" s="1"/>
  <c r="Z132" i="25"/>
  <c r="BK132" i="24"/>
  <c r="AS132" i="25" s="1"/>
  <c r="Z115" i="25"/>
  <c r="BK115" i="24"/>
  <c r="AS115" i="25" s="1"/>
  <c r="AA46" i="25"/>
  <c r="BL46" i="24"/>
  <c r="AT46" i="25" s="1"/>
  <c r="AJ28" i="25"/>
  <c r="BU28" i="24"/>
  <c r="BC28" i="25" s="1"/>
  <c r="AJ122" i="25"/>
  <c r="BU122" i="24"/>
  <c r="BC122" i="25" s="1"/>
  <c r="AJ83" i="25"/>
  <c r="BU83" i="24"/>
  <c r="BC83" i="25" s="1"/>
  <c r="V109" i="25"/>
  <c r="V67" i="25"/>
  <c r="BG67" i="24"/>
  <c r="AO67" i="25" s="1"/>
  <c r="Y80" i="25"/>
  <c r="BJ80" i="24"/>
  <c r="AR80" i="25" s="1"/>
  <c r="Y50" i="25"/>
  <c r="BJ50" i="24"/>
  <c r="AR50" i="25" s="1"/>
  <c r="Y119" i="25"/>
  <c r="BJ119" i="24"/>
  <c r="AR119" i="25" s="1"/>
  <c r="Y90" i="25"/>
  <c r="BJ90" i="24"/>
  <c r="AR90" i="25" s="1"/>
  <c r="AB9" i="25"/>
  <c r="BM9" i="24"/>
  <c r="AU9" i="25" s="1"/>
  <c r="AB8" i="25"/>
  <c r="BM8" i="24"/>
  <c r="AU8" i="25" s="1"/>
  <c r="AB38" i="25"/>
  <c r="BM38" i="24"/>
  <c r="AU38" i="25" s="1"/>
  <c r="AB102" i="25"/>
  <c r="BM102" i="24"/>
  <c r="AU102" i="25" s="1"/>
  <c r="AB100" i="25"/>
  <c r="BM100" i="24"/>
  <c r="AU100" i="25" s="1"/>
  <c r="AE72" i="25"/>
  <c r="BP72" i="24"/>
  <c r="AX72" i="25" s="1"/>
  <c r="AE14" i="25"/>
  <c r="BP14" i="24"/>
  <c r="AX14" i="25" s="1"/>
  <c r="AE44" i="25"/>
  <c r="BP44" i="24"/>
  <c r="AX44" i="25" s="1"/>
  <c r="AE77" i="25"/>
  <c r="BP77" i="24"/>
  <c r="AX77" i="25" s="1"/>
  <c r="AF25" i="25"/>
  <c r="BQ25" i="24"/>
  <c r="AY25" i="25" s="1"/>
  <c r="AF9" i="25"/>
  <c r="BQ9" i="24"/>
  <c r="AY9" i="25" s="1"/>
  <c r="AF8" i="25"/>
  <c r="BQ8" i="24"/>
  <c r="AY8" i="25" s="1"/>
  <c r="AF43" i="25"/>
  <c r="BQ43" i="24"/>
  <c r="AY43" i="25" s="1"/>
  <c r="AD94" i="25"/>
  <c r="BO94" i="24"/>
  <c r="AW94" i="25" s="1"/>
  <c r="AD132" i="25"/>
  <c r="BO132" i="24"/>
  <c r="AW132" i="25" s="1"/>
  <c r="AD49" i="25"/>
  <c r="BO49" i="24"/>
  <c r="AW49" i="25" s="1"/>
  <c r="AD36" i="25"/>
  <c r="BO36" i="24"/>
  <c r="AW36" i="25" s="1"/>
  <c r="AA35" i="25"/>
  <c r="BL35" i="24"/>
  <c r="AT35" i="25" s="1"/>
  <c r="AA18" i="25"/>
  <c r="BL18" i="24"/>
  <c r="AT18" i="25" s="1"/>
  <c r="AA114" i="25"/>
  <c r="BL114" i="24"/>
  <c r="AT114" i="25" s="1"/>
  <c r="Z125" i="25"/>
  <c r="BK125" i="24"/>
  <c r="AS125" i="25" s="1"/>
  <c r="Z18" i="25"/>
  <c r="BK18" i="24"/>
  <c r="AS18" i="25" s="1"/>
  <c r="Z42" i="25"/>
  <c r="BK42" i="24"/>
  <c r="AS42" i="25" s="1"/>
  <c r="AB66" i="25"/>
  <c r="BM66" i="24"/>
  <c r="AU66" i="25" s="1"/>
  <c r="AJ89" i="25"/>
  <c r="BU89" i="24"/>
  <c r="BC89" i="25" s="1"/>
  <c r="AJ39" i="25"/>
  <c r="BU39" i="24"/>
  <c r="BC39" i="25" s="1"/>
  <c r="AJ124" i="25"/>
  <c r="BU124" i="24"/>
  <c r="BC124" i="25" s="1"/>
  <c r="AJ125" i="25"/>
  <c r="BU125" i="24"/>
  <c r="BC125" i="25" s="1"/>
  <c r="AJ111" i="25"/>
  <c r="BU111" i="24"/>
  <c r="BC111" i="25" s="1"/>
  <c r="AJ123" i="25"/>
  <c r="BU123" i="24"/>
  <c r="BC123" i="25" s="1"/>
  <c r="AJ51" i="25"/>
  <c r="BU51" i="24"/>
  <c r="BC51" i="25" s="1"/>
  <c r="AJ114" i="25"/>
  <c r="BU114" i="24"/>
  <c r="BC114" i="25" s="1"/>
  <c r="AJ49" i="25"/>
  <c r="BU49" i="24"/>
  <c r="BC49" i="25" s="1"/>
  <c r="AJ35" i="25"/>
  <c r="BU35" i="24"/>
  <c r="BC35" i="25" s="1"/>
  <c r="AJ22" i="25"/>
  <c r="BU22" i="24"/>
  <c r="BC22" i="25" s="1"/>
  <c r="AJ9" i="25"/>
  <c r="BU9" i="24"/>
  <c r="BC9" i="25" s="1"/>
  <c r="V60" i="25"/>
  <c r="BG60" i="24"/>
  <c r="AO60" i="25" s="1"/>
  <c r="V35" i="25"/>
  <c r="BG35" i="24"/>
  <c r="AO35" i="25" s="1"/>
  <c r="V9" i="25"/>
  <c r="BG9" i="24"/>
  <c r="AO9" i="25" s="1"/>
  <c r="V48" i="25"/>
  <c r="BG48" i="24"/>
  <c r="AO48" i="25" s="1"/>
  <c r="V125" i="25"/>
  <c r="BG125" i="24"/>
  <c r="AO125" i="25" s="1"/>
  <c r="V45" i="25"/>
  <c r="BG45" i="24"/>
  <c r="AO45" i="25" s="1"/>
  <c r="V32" i="25"/>
  <c r="V19" i="25"/>
  <c r="BG19" i="24"/>
  <c r="AO19" i="25" s="1"/>
  <c r="V15" i="25"/>
  <c r="BG15" i="24"/>
  <c r="AO15" i="25" s="1"/>
  <c r="Y108" i="25"/>
  <c r="BJ108" i="24"/>
  <c r="AR108" i="25" s="1"/>
  <c r="Y98" i="25"/>
  <c r="BJ98" i="24"/>
  <c r="AR98" i="25" s="1"/>
  <c r="Y19" i="25"/>
  <c r="BJ19" i="24"/>
  <c r="AR19" i="25" s="1"/>
  <c r="Y92" i="25"/>
  <c r="BJ92" i="24"/>
  <c r="AR92" i="25" s="1"/>
  <c r="Y120" i="25"/>
  <c r="BJ120" i="24"/>
  <c r="AR120" i="25" s="1"/>
  <c r="Y47" i="25"/>
  <c r="BJ47" i="24"/>
  <c r="AR47" i="25" s="1"/>
  <c r="Y111" i="25"/>
  <c r="BJ111" i="24"/>
  <c r="AR111" i="25" s="1"/>
  <c r="Y58" i="25"/>
  <c r="BJ58" i="24"/>
  <c r="AR58" i="25" s="1"/>
  <c r="Y42" i="25"/>
  <c r="BJ42" i="24"/>
  <c r="AR42" i="25" s="1"/>
  <c r="Y41" i="25"/>
  <c r="BJ41" i="24"/>
  <c r="AR41" i="25" s="1"/>
  <c r="Y40" i="25"/>
  <c r="BJ40" i="24"/>
  <c r="AR40" i="25" s="1"/>
  <c r="AB11" i="25"/>
  <c r="BM11" i="24"/>
  <c r="AU11" i="25" s="1"/>
  <c r="AB97" i="25"/>
  <c r="BM97" i="24"/>
  <c r="AU97" i="25" s="1"/>
  <c r="AB35" i="25"/>
  <c r="BM35" i="24"/>
  <c r="AU35" i="25" s="1"/>
  <c r="AB133" i="25"/>
  <c r="BM133" i="24"/>
  <c r="AU133" i="25" s="1"/>
  <c r="AB75" i="25"/>
  <c r="BM75" i="24"/>
  <c r="AU75" i="25" s="1"/>
  <c r="AB86" i="25"/>
  <c r="BM86" i="24"/>
  <c r="AU86" i="25" s="1"/>
  <c r="AB120" i="25"/>
  <c r="BM120" i="24"/>
  <c r="AU120" i="25" s="1"/>
  <c r="AB70" i="25"/>
  <c r="BM70" i="24"/>
  <c r="AU70" i="25" s="1"/>
  <c r="AB54" i="25"/>
  <c r="BM54" i="24"/>
  <c r="AU54" i="25" s="1"/>
  <c r="AB53" i="25"/>
  <c r="BM53" i="24"/>
  <c r="AU53" i="25" s="1"/>
  <c r="AB52" i="25"/>
  <c r="BM52" i="24"/>
  <c r="AU52" i="25" s="1"/>
  <c r="AE41" i="25"/>
  <c r="BP41" i="24"/>
  <c r="AX41" i="25" s="1"/>
  <c r="AE36" i="25"/>
  <c r="BP36" i="24"/>
  <c r="AX36" i="25" s="1"/>
  <c r="AE21" i="25"/>
  <c r="BP21" i="24"/>
  <c r="AX21" i="25" s="1"/>
  <c r="AE112" i="25"/>
  <c r="BP112" i="24"/>
  <c r="AX112" i="25" s="1"/>
  <c r="AE75" i="25"/>
  <c r="BP75" i="24"/>
  <c r="AX75" i="25" s="1"/>
  <c r="AE89" i="25"/>
  <c r="BP89" i="24"/>
  <c r="AX89" i="25" s="1"/>
  <c r="AE113" i="25"/>
  <c r="BP113" i="24"/>
  <c r="AX113" i="25" s="1"/>
  <c r="AE83" i="25"/>
  <c r="BP83" i="24"/>
  <c r="AX83" i="25" s="1"/>
  <c r="AE53" i="25"/>
  <c r="BP53" i="24"/>
  <c r="AX53" i="25" s="1"/>
  <c r="AE20" i="25"/>
  <c r="BP20" i="24"/>
  <c r="AX20" i="25" s="1"/>
  <c r="AE64" i="25"/>
  <c r="BP64" i="24"/>
  <c r="AX64" i="25" s="1"/>
  <c r="AF34" i="25"/>
  <c r="BQ34" i="24"/>
  <c r="AY34" i="25" s="1"/>
  <c r="AF110" i="25"/>
  <c r="BQ110" i="24"/>
  <c r="AY110" i="25" s="1"/>
  <c r="AF98" i="25"/>
  <c r="BQ98" i="24"/>
  <c r="AY98" i="25" s="1"/>
  <c r="AF83" i="25"/>
  <c r="BQ83" i="24"/>
  <c r="AY83" i="25" s="1"/>
  <c r="AF72" i="25"/>
  <c r="BQ72" i="24"/>
  <c r="AY72" i="25" s="1"/>
  <c r="AF68" i="25"/>
  <c r="BQ68" i="24"/>
  <c r="AY68" i="25" s="1"/>
  <c r="AF130" i="25"/>
  <c r="BQ130" i="24"/>
  <c r="AY130" i="25" s="1"/>
  <c r="AF85" i="25"/>
  <c r="BQ85" i="24"/>
  <c r="AY85" i="25" s="1"/>
  <c r="AF15" i="25"/>
  <c r="BQ15" i="24"/>
  <c r="AY15" i="25" s="1"/>
  <c r="AF78" i="25"/>
  <c r="BQ78" i="24"/>
  <c r="AY78" i="25" s="1"/>
  <c r="AF77" i="25"/>
  <c r="BQ77" i="24"/>
  <c r="AY77" i="25" s="1"/>
  <c r="AD80" i="25"/>
  <c r="BO80" i="24"/>
  <c r="AW80" i="25" s="1"/>
  <c r="AD51" i="25"/>
  <c r="BO51" i="24"/>
  <c r="AW51" i="25" s="1"/>
  <c r="AD69" i="25"/>
  <c r="BO69" i="24"/>
  <c r="AW69" i="25" s="1"/>
  <c r="AD123" i="25"/>
  <c r="BO123" i="24"/>
  <c r="AW123" i="25" s="1"/>
  <c r="AD58" i="25"/>
  <c r="BO58" i="24"/>
  <c r="AW58" i="25" s="1"/>
  <c r="AD54" i="25"/>
  <c r="BO54" i="24"/>
  <c r="AW54" i="25" s="1"/>
  <c r="AD118" i="25"/>
  <c r="BO118" i="24"/>
  <c r="AW118" i="25" s="1"/>
  <c r="AD45" i="25"/>
  <c r="BO45" i="24"/>
  <c r="AW45" i="25" s="1"/>
  <c r="AD28" i="25"/>
  <c r="BO28" i="24"/>
  <c r="AW28" i="25" s="1"/>
  <c r="AD119" i="25"/>
  <c r="BO119" i="24"/>
  <c r="AW119" i="25" s="1"/>
  <c r="AD103" i="25"/>
  <c r="BO103" i="24"/>
  <c r="AW103" i="25" s="1"/>
  <c r="AA78" i="25"/>
  <c r="BL78" i="24"/>
  <c r="AT78" i="25" s="1"/>
  <c r="AA22" i="25"/>
  <c r="BL22" i="24"/>
  <c r="AT22" i="25" s="1"/>
  <c r="AA126" i="25"/>
  <c r="BL126" i="24"/>
  <c r="AT126" i="25" s="1"/>
  <c r="Z32" i="25"/>
  <c r="BK32" i="24"/>
  <c r="AS32" i="25" s="1"/>
  <c r="Z108" i="25"/>
  <c r="BK108" i="24"/>
  <c r="AS108" i="25" s="1"/>
  <c r="Z86" i="25"/>
  <c r="BK86" i="24"/>
  <c r="AS86" i="25" s="1"/>
  <c r="Z21" i="25"/>
  <c r="BK21" i="24"/>
  <c r="AS21" i="25" s="1"/>
  <c r="AA72" i="25"/>
  <c r="BL72" i="24"/>
  <c r="AT72" i="25" s="1"/>
  <c r="Z75" i="25"/>
  <c r="BK75" i="24"/>
  <c r="AS75" i="25" s="1"/>
  <c r="AA136" i="25"/>
  <c r="BL136" i="24"/>
  <c r="AT136" i="25" s="1"/>
  <c r="AA87" i="25"/>
  <c r="BL87" i="24"/>
  <c r="AT87" i="25" s="1"/>
  <c r="Z117" i="25"/>
  <c r="BK117" i="24"/>
  <c r="AS117" i="25" s="1"/>
  <c r="Z134" i="25"/>
  <c r="BK134" i="24"/>
  <c r="AS134" i="25" s="1"/>
  <c r="AJ136" i="25"/>
  <c r="BU136" i="24"/>
  <c r="BC136" i="25" s="1"/>
  <c r="AJ116" i="25"/>
  <c r="BU116" i="24"/>
  <c r="BC116" i="25" s="1"/>
  <c r="AJ131" i="25"/>
  <c r="BU131" i="24"/>
  <c r="BC131" i="25" s="1"/>
  <c r="V119" i="25"/>
  <c r="BG119" i="24"/>
  <c r="AO119" i="25" s="1"/>
  <c r="V126" i="25"/>
  <c r="BG126" i="24"/>
  <c r="AO126" i="25" s="1"/>
  <c r="Y81" i="25"/>
  <c r="BJ81" i="24"/>
  <c r="AR81" i="25" s="1"/>
  <c r="Y15" i="25"/>
  <c r="BJ15" i="24"/>
  <c r="AR15" i="25" s="1"/>
  <c r="Y10" i="25"/>
  <c r="BJ10" i="24"/>
  <c r="AR10" i="25" s="1"/>
  <c r="AB116" i="25"/>
  <c r="BM116" i="24"/>
  <c r="AU116" i="25" s="1"/>
  <c r="AB14" i="25"/>
  <c r="BM14" i="24"/>
  <c r="AU14" i="25" s="1"/>
  <c r="AB6" i="25"/>
  <c r="BM6" i="24"/>
  <c r="AU6" i="25" s="1"/>
  <c r="AE119" i="25"/>
  <c r="BP119" i="24"/>
  <c r="AX119" i="25" s="1"/>
  <c r="AE124" i="25"/>
  <c r="BP124" i="24"/>
  <c r="AX124" i="25" s="1"/>
  <c r="AE66" i="25"/>
  <c r="BP66" i="24"/>
  <c r="AX66" i="25" s="1"/>
  <c r="AF102" i="25"/>
  <c r="BQ102" i="24"/>
  <c r="AY102" i="25" s="1"/>
  <c r="AF91" i="25"/>
  <c r="BQ91" i="24"/>
  <c r="AY91" i="25" s="1"/>
  <c r="AD39" i="25"/>
  <c r="BO39" i="24"/>
  <c r="AW39" i="25" s="1"/>
  <c r="AD120" i="25"/>
  <c r="BO120" i="24"/>
  <c r="AW120" i="25" s="1"/>
  <c r="AD71" i="25"/>
  <c r="BO71" i="24"/>
  <c r="AW71" i="25" s="1"/>
  <c r="Z101" i="25"/>
  <c r="BK101" i="24"/>
  <c r="AS101" i="25" s="1"/>
  <c r="AA100" i="25"/>
  <c r="BL100" i="24"/>
  <c r="AT100" i="25" s="1"/>
  <c r="Z133" i="25"/>
  <c r="BK133" i="24"/>
  <c r="AS133" i="25" s="1"/>
  <c r="AA121" i="25"/>
  <c r="BL121" i="24"/>
  <c r="AT121" i="25" s="1"/>
  <c r="V77" i="25"/>
  <c r="BG77" i="24"/>
  <c r="AO77" i="25" s="1"/>
  <c r="V50" i="25"/>
  <c r="BG50" i="24"/>
  <c r="AO50" i="25" s="1"/>
  <c r="V129" i="25"/>
  <c r="BG129" i="24"/>
  <c r="AO129" i="25" s="1"/>
  <c r="V87" i="25"/>
  <c r="BG87" i="24"/>
  <c r="AO87" i="25" s="1"/>
  <c r="Y110" i="25"/>
  <c r="BJ110" i="24"/>
  <c r="AR110" i="25" s="1"/>
  <c r="Y127" i="25"/>
  <c r="BJ127" i="24"/>
  <c r="AR127" i="25" s="1"/>
  <c r="Y96" i="25"/>
  <c r="BJ96" i="24"/>
  <c r="AR96" i="25" s="1"/>
  <c r="Y125" i="25"/>
  <c r="BJ125" i="24"/>
  <c r="AR125" i="25" s="1"/>
  <c r="AB45" i="25"/>
  <c r="BM45" i="24"/>
  <c r="AU45" i="25" s="1"/>
  <c r="AB59" i="25"/>
  <c r="BM59" i="24"/>
  <c r="AU59" i="25" s="1"/>
  <c r="AB93" i="25"/>
  <c r="BM93" i="24"/>
  <c r="AU93" i="25" s="1"/>
  <c r="AB10" i="25"/>
  <c r="BM10" i="24"/>
  <c r="AU10" i="25" s="1"/>
  <c r="AE103" i="25"/>
  <c r="BP103" i="24"/>
  <c r="AX103" i="25" s="1"/>
  <c r="AE95" i="25"/>
  <c r="BP95" i="24"/>
  <c r="AX95" i="25" s="1"/>
  <c r="AE106" i="25"/>
  <c r="BP106" i="24"/>
  <c r="AX106" i="25" s="1"/>
  <c r="AE116" i="25"/>
  <c r="BP116" i="24"/>
  <c r="AX116" i="25" s="1"/>
  <c r="AF36" i="25"/>
  <c r="BQ36" i="24"/>
  <c r="AY36" i="25" s="1"/>
  <c r="AF80" i="25"/>
  <c r="BQ80" i="24"/>
  <c r="AY80" i="25" s="1"/>
  <c r="AF56" i="25"/>
  <c r="BQ56" i="24"/>
  <c r="AY56" i="25" s="1"/>
  <c r="AF18" i="25"/>
  <c r="BQ18" i="24"/>
  <c r="AY18" i="25" s="1"/>
  <c r="AD15" i="25"/>
  <c r="BO15" i="24"/>
  <c r="AW15" i="25" s="1"/>
  <c r="AD114" i="25"/>
  <c r="BO114" i="24"/>
  <c r="AW114" i="25" s="1"/>
  <c r="AD29" i="25"/>
  <c r="BO29" i="24"/>
  <c r="AW29" i="25" s="1"/>
  <c r="AD72" i="25"/>
  <c r="BO72" i="24"/>
  <c r="AW72" i="25" s="1"/>
  <c r="AA109" i="25"/>
  <c r="BL109" i="24"/>
  <c r="AT109" i="25" s="1"/>
  <c r="AA31" i="25"/>
  <c r="BL31" i="24"/>
  <c r="AT31" i="25" s="1"/>
  <c r="Z118" i="25"/>
  <c r="BK118" i="24"/>
  <c r="AS118" i="25" s="1"/>
  <c r="Z110" i="25"/>
  <c r="BK110" i="24"/>
  <c r="AS110" i="25" s="1"/>
  <c r="AA74" i="25"/>
  <c r="BL74" i="24"/>
  <c r="AT74" i="25" s="1"/>
  <c r="AA16" i="25"/>
  <c r="BL16" i="24"/>
  <c r="AT16" i="25" s="1"/>
  <c r="AA108" i="25"/>
  <c r="BL108" i="24"/>
  <c r="AT108" i="25" s="1"/>
  <c r="AJ14" i="25"/>
  <c r="BU14" i="24"/>
  <c r="BC14" i="25" s="1"/>
  <c r="AJ112" i="25"/>
  <c r="BU112" i="24"/>
  <c r="BC112" i="25" s="1"/>
  <c r="AJ6" i="25"/>
  <c r="BU6" i="24"/>
  <c r="BC6" i="25" s="1"/>
  <c r="AJ81" i="25"/>
  <c r="BU81" i="24"/>
  <c r="BC81" i="25" s="1"/>
  <c r="V58" i="25"/>
  <c r="BG58" i="24"/>
  <c r="AO58" i="25" s="1"/>
  <c r="V65" i="25"/>
  <c r="BG65" i="24"/>
  <c r="AO65" i="25" s="1"/>
  <c r="V104" i="25"/>
  <c r="BG104" i="24"/>
  <c r="AO104" i="25" s="1"/>
  <c r="Y9" i="25"/>
  <c r="BJ9" i="24"/>
  <c r="AR9" i="25" s="1"/>
  <c r="Y122" i="25"/>
  <c r="BJ122" i="24"/>
  <c r="AR122" i="25" s="1"/>
  <c r="Y79" i="25"/>
  <c r="BJ79" i="24"/>
  <c r="AR79" i="25" s="1"/>
  <c r="Y112" i="25"/>
  <c r="BJ112" i="24"/>
  <c r="AR112" i="25" s="1"/>
  <c r="AB61" i="25"/>
  <c r="BM61" i="24"/>
  <c r="AU61" i="25" s="1"/>
  <c r="AB104" i="25"/>
  <c r="BM104" i="24"/>
  <c r="AU104" i="25" s="1"/>
  <c r="AB125" i="25"/>
  <c r="BM125" i="24"/>
  <c r="AU125" i="25" s="1"/>
  <c r="AE8" i="25"/>
  <c r="BP8" i="24"/>
  <c r="AX8" i="25" s="1"/>
  <c r="AE91" i="25"/>
  <c r="BP91" i="24"/>
  <c r="AX91" i="25" s="1"/>
  <c r="AE132" i="25"/>
  <c r="BP132" i="24"/>
  <c r="AX132" i="25" s="1"/>
  <c r="AF97" i="25"/>
  <c r="BQ97" i="24"/>
  <c r="AY97" i="25" s="1"/>
  <c r="AF57" i="25"/>
  <c r="BQ57" i="24"/>
  <c r="AY57" i="25" s="1"/>
  <c r="AF38" i="25"/>
  <c r="BQ38" i="24"/>
  <c r="AY38" i="25" s="1"/>
  <c r="AF5" i="25"/>
  <c r="BQ5" i="24"/>
  <c r="AY5" i="25" s="1"/>
  <c r="AD62" i="25"/>
  <c r="BO62" i="24"/>
  <c r="AW62" i="25" s="1"/>
  <c r="AD85" i="25"/>
  <c r="BO85" i="24"/>
  <c r="AW85" i="25" s="1"/>
  <c r="AD47" i="25"/>
  <c r="BO47" i="24"/>
  <c r="AW47" i="25" s="1"/>
  <c r="AA106" i="25"/>
  <c r="BL106" i="24"/>
  <c r="AT106" i="25" s="1"/>
  <c r="AA95" i="25"/>
  <c r="BL95" i="24"/>
  <c r="AT95" i="25" s="1"/>
  <c r="Z11" i="25"/>
  <c r="BK11" i="24"/>
  <c r="AS11" i="25" s="1"/>
  <c r="Z29" i="25"/>
  <c r="BK29" i="24"/>
  <c r="AS29" i="25" s="1"/>
  <c r="AA94" i="25"/>
  <c r="BL94" i="24"/>
  <c r="AT94" i="25" s="1"/>
  <c r="AA82" i="25"/>
  <c r="BL82" i="24"/>
  <c r="AT82" i="25" s="1"/>
  <c r="AJ128" i="25"/>
  <c r="BU128" i="24"/>
  <c r="BC128" i="25" s="1"/>
  <c r="AJ24" i="25"/>
  <c r="BU24" i="24"/>
  <c r="BC24" i="25" s="1"/>
  <c r="AJ63" i="25"/>
  <c r="BU63" i="24"/>
  <c r="BC63" i="25" s="1"/>
  <c r="AJ82" i="25"/>
  <c r="BU82" i="24"/>
  <c r="BC82" i="25" s="1"/>
  <c r="V5" i="25"/>
  <c r="BG5" i="24"/>
  <c r="AO5" i="25" s="1"/>
  <c r="V8" i="25"/>
  <c r="BG8" i="24"/>
  <c r="AO8" i="25" s="1"/>
  <c r="V63" i="25"/>
  <c r="BG63" i="24"/>
  <c r="AO63" i="25" s="1"/>
  <c r="Y129" i="25"/>
  <c r="BJ129" i="24"/>
  <c r="AR129" i="25" s="1"/>
  <c r="Y60" i="25"/>
  <c r="BJ60" i="24"/>
  <c r="AR60" i="25" s="1"/>
  <c r="Y101" i="25"/>
  <c r="BJ101" i="24"/>
  <c r="AR101" i="25" s="1"/>
  <c r="AB36" i="25"/>
  <c r="BM36" i="24"/>
  <c r="AU36" i="25" s="1"/>
  <c r="AB57" i="25"/>
  <c r="BM57" i="24"/>
  <c r="AU57" i="25" s="1"/>
  <c r="AB114" i="25"/>
  <c r="BM114" i="24"/>
  <c r="AU114" i="25" s="1"/>
  <c r="AE118" i="25"/>
  <c r="BP118" i="24"/>
  <c r="AX118" i="25" s="1"/>
  <c r="AE15" i="25"/>
  <c r="BP15" i="24"/>
  <c r="AX15" i="25" s="1"/>
  <c r="AE30" i="25"/>
  <c r="BP30" i="24"/>
  <c r="AX30" i="25" s="1"/>
  <c r="AF105" i="25"/>
  <c r="BQ105" i="24"/>
  <c r="AY105" i="25" s="1"/>
  <c r="AF75" i="25"/>
  <c r="BQ75" i="24"/>
  <c r="AY75" i="25" s="1"/>
  <c r="AD61" i="25"/>
  <c r="BO61" i="24"/>
  <c r="AW61" i="25" s="1"/>
  <c r="AD88" i="25"/>
  <c r="BO88" i="24"/>
  <c r="AW88" i="25" s="1"/>
  <c r="AA13" i="25"/>
  <c r="BL13" i="24"/>
  <c r="AT13" i="25" s="1"/>
  <c r="AA57" i="25"/>
  <c r="BL57" i="24"/>
  <c r="AT57" i="25" s="1"/>
  <c r="AA90" i="25"/>
  <c r="BL90" i="24"/>
  <c r="AT90" i="25" s="1"/>
  <c r="Z129" i="25"/>
  <c r="BK129" i="24"/>
  <c r="AS129" i="25" s="1"/>
  <c r="AJ48" i="25"/>
  <c r="BU48" i="24"/>
  <c r="BC48" i="25" s="1"/>
  <c r="AJ113" i="25"/>
  <c r="BU113" i="24"/>
  <c r="BC113" i="25" s="1"/>
  <c r="AJ43" i="25"/>
  <c r="BU43" i="24"/>
  <c r="BC43" i="25" s="1"/>
  <c r="AJ70" i="25"/>
  <c r="BU70" i="24"/>
  <c r="BC70" i="25" s="1"/>
  <c r="V118" i="25"/>
  <c r="BG118" i="24"/>
  <c r="AO118" i="25" s="1"/>
  <c r="V131" i="25"/>
  <c r="V93" i="25"/>
  <c r="BG93" i="24"/>
  <c r="AO93" i="25" s="1"/>
  <c r="V51" i="25"/>
  <c r="BG51" i="24"/>
  <c r="AO51" i="25" s="1"/>
  <c r="Y93" i="25"/>
  <c r="BJ93" i="24"/>
  <c r="AR93" i="25" s="1"/>
  <c r="Y43" i="25"/>
  <c r="BJ43" i="24"/>
  <c r="AR43" i="25" s="1"/>
  <c r="Y89" i="25"/>
  <c r="BJ89" i="24"/>
  <c r="AR89" i="25" s="1"/>
  <c r="AB39" i="25"/>
  <c r="BM39" i="24"/>
  <c r="AU39" i="25" s="1"/>
  <c r="AB51" i="25"/>
  <c r="BM51" i="24"/>
  <c r="AU51" i="25" s="1"/>
  <c r="AB118" i="25"/>
  <c r="BM118" i="24"/>
  <c r="AU118" i="25" s="1"/>
  <c r="AE60" i="25"/>
  <c r="BP60" i="24"/>
  <c r="AX60" i="25" s="1"/>
  <c r="AE114" i="25"/>
  <c r="BP114" i="24"/>
  <c r="AX114" i="25" s="1"/>
  <c r="AE133" i="25"/>
  <c r="BP133" i="24"/>
  <c r="AX133" i="25" s="1"/>
  <c r="AE18" i="25"/>
  <c r="BP18" i="24"/>
  <c r="AX18" i="25" s="1"/>
  <c r="AF58" i="25"/>
  <c r="BQ58" i="24"/>
  <c r="AY58" i="25" s="1"/>
  <c r="AF21" i="25"/>
  <c r="BQ21" i="24"/>
  <c r="AY21" i="25" s="1"/>
  <c r="AF81" i="25"/>
  <c r="BQ81" i="24"/>
  <c r="AY81" i="25" s="1"/>
  <c r="AD126" i="25"/>
  <c r="BO126" i="24"/>
  <c r="AW126" i="25" s="1"/>
  <c r="AD34" i="25"/>
  <c r="BO34" i="24"/>
  <c r="AW34" i="25" s="1"/>
  <c r="AD117" i="25"/>
  <c r="BO117" i="24"/>
  <c r="AW117" i="25" s="1"/>
  <c r="AD23" i="25"/>
  <c r="BO23" i="24"/>
  <c r="AW23" i="25" s="1"/>
  <c r="AA89" i="25"/>
  <c r="BL89" i="24"/>
  <c r="AT89" i="25" s="1"/>
  <c r="Z44" i="25"/>
  <c r="BK44" i="24"/>
  <c r="AS44" i="25" s="1"/>
  <c r="AA29" i="25"/>
  <c r="BL29" i="24"/>
  <c r="AT29" i="25" s="1"/>
  <c r="AA4" i="25"/>
  <c r="BL4" i="24"/>
  <c r="AT4" i="25" s="1"/>
  <c r="AA58" i="25"/>
  <c r="BL58" i="24"/>
  <c r="AT58" i="25" s="1"/>
  <c r="Z73" i="25"/>
  <c r="BK73" i="24"/>
  <c r="AS73" i="25" s="1"/>
  <c r="AA34" i="25"/>
  <c r="BL34" i="24"/>
  <c r="AT34" i="25" s="1"/>
  <c r="Z24" i="25"/>
  <c r="BK24" i="24"/>
  <c r="AS24" i="25" s="1"/>
  <c r="AB65" i="25"/>
  <c r="BM65" i="24"/>
  <c r="AU65" i="25" s="1"/>
  <c r="AJ66" i="25"/>
  <c r="BU66" i="24"/>
  <c r="BC66" i="25" s="1"/>
  <c r="AJ108" i="25"/>
  <c r="BU108" i="24"/>
  <c r="BC108" i="25" s="1"/>
  <c r="AJ75" i="25"/>
  <c r="BU75" i="24"/>
  <c r="BC75" i="25" s="1"/>
  <c r="AJ96" i="25"/>
  <c r="BU96" i="24"/>
  <c r="BC96" i="25" s="1"/>
  <c r="AJ80" i="25"/>
  <c r="BU80" i="24"/>
  <c r="BC80" i="25" s="1"/>
  <c r="AJ104" i="25"/>
  <c r="BU104" i="24"/>
  <c r="BC104" i="25" s="1"/>
  <c r="AJ31" i="25"/>
  <c r="BU31" i="24"/>
  <c r="BC31" i="25" s="1"/>
  <c r="AJ98" i="25"/>
  <c r="BU98" i="24"/>
  <c r="BC98" i="25" s="1"/>
  <c r="AJ37" i="25"/>
  <c r="BU37" i="24"/>
  <c r="BC37" i="25" s="1"/>
  <c r="AJ23" i="25"/>
  <c r="BU23" i="24"/>
  <c r="BC23" i="25" s="1"/>
  <c r="AJ10" i="25"/>
  <c r="BU10" i="24"/>
  <c r="BC10" i="25" s="1"/>
  <c r="V130" i="25"/>
  <c r="BG130" i="24"/>
  <c r="AO130" i="25" s="1"/>
  <c r="V40" i="25"/>
  <c r="BG40" i="24"/>
  <c r="AO40" i="25" s="1"/>
  <c r="V12" i="25"/>
  <c r="V10" i="25"/>
  <c r="BG10" i="24"/>
  <c r="AO10" i="25" s="1"/>
  <c r="V28" i="25"/>
  <c r="BG28" i="24"/>
  <c r="AO28" i="25" s="1"/>
  <c r="V106" i="25"/>
  <c r="BG106" i="24"/>
  <c r="AO106" i="25" s="1"/>
  <c r="V49" i="25"/>
  <c r="BG49" i="24"/>
  <c r="AO49" i="25" s="1"/>
  <c r="V33" i="25"/>
  <c r="V20" i="25"/>
  <c r="BG20" i="24"/>
  <c r="AO20" i="25" s="1"/>
  <c r="V135" i="25"/>
  <c r="BG135" i="24"/>
  <c r="AO135" i="25" s="1"/>
  <c r="V14" i="25"/>
  <c r="BG14" i="24"/>
  <c r="AO14" i="25" s="1"/>
  <c r="Y72" i="25"/>
  <c r="BJ72" i="24"/>
  <c r="AR72" i="25" s="1"/>
  <c r="Y62" i="25"/>
  <c r="BJ62" i="24"/>
  <c r="AR62" i="25" s="1"/>
  <c r="Y123" i="25"/>
  <c r="BJ123" i="24"/>
  <c r="AR123" i="25" s="1"/>
  <c r="Y73" i="25"/>
  <c r="BJ73" i="24"/>
  <c r="AR73" i="25" s="1"/>
  <c r="Y103" i="25"/>
  <c r="BJ103" i="24"/>
  <c r="AR103" i="25" s="1"/>
  <c r="Y27" i="25"/>
  <c r="BJ27" i="24"/>
  <c r="AR27" i="25" s="1"/>
  <c r="Y95" i="25"/>
  <c r="BJ95" i="24"/>
  <c r="AR95" i="25" s="1"/>
  <c r="Y46" i="25"/>
  <c r="BJ46" i="24"/>
  <c r="AR46" i="25" s="1"/>
  <c r="Y30" i="25"/>
  <c r="BJ30" i="24"/>
  <c r="AR30" i="25" s="1"/>
  <c r="Y29" i="25"/>
  <c r="BJ29" i="24"/>
  <c r="AR29" i="25" s="1"/>
  <c r="Y28" i="25"/>
  <c r="BJ28" i="24"/>
  <c r="AR28" i="25" s="1"/>
  <c r="AB92" i="25"/>
  <c r="BM92" i="24"/>
  <c r="AU92" i="25" s="1"/>
  <c r="AB72" i="25"/>
  <c r="BM72" i="24"/>
  <c r="AU72" i="25" s="1"/>
  <c r="AB7" i="25"/>
  <c r="BM7" i="24"/>
  <c r="AU7" i="25" s="1"/>
  <c r="AB108" i="25"/>
  <c r="BM108" i="24"/>
  <c r="AU108" i="25" s="1"/>
  <c r="AB47" i="25"/>
  <c r="BM47" i="24"/>
  <c r="AU47" i="25" s="1"/>
  <c r="AB69" i="25"/>
  <c r="BM69" i="24"/>
  <c r="AU69" i="25" s="1"/>
  <c r="AB103" i="25"/>
  <c r="BM103" i="24"/>
  <c r="AU103" i="25" s="1"/>
  <c r="AB58" i="25"/>
  <c r="BM58" i="24"/>
  <c r="AU58" i="25" s="1"/>
  <c r="AB42" i="25"/>
  <c r="BM42" i="24"/>
  <c r="AU42" i="25" s="1"/>
  <c r="AB41" i="25"/>
  <c r="BM41" i="24"/>
  <c r="AU41" i="25" s="1"/>
  <c r="AB40" i="25"/>
  <c r="BM40" i="24"/>
  <c r="AU40" i="25" s="1"/>
  <c r="AE9" i="25"/>
  <c r="BP9" i="24"/>
  <c r="AX9" i="25" s="1"/>
  <c r="AE123" i="25"/>
  <c r="BP123" i="24"/>
  <c r="AX123" i="25" s="1"/>
  <c r="AE105" i="25"/>
  <c r="BP105" i="24"/>
  <c r="AX105" i="25" s="1"/>
  <c r="AE81" i="25"/>
  <c r="BP81" i="24"/>
  <c r="AX81" i="25" s="1"/>
  <c r="AE56" i="25"/>
  <c r="BP56" i="24"/>
  <c r="AX56" i="25" s="1"/>
  <c r="AE67" i="25"/>
  <c r="BP67" i="24"/>
  <c r="AX67" i="25" s="1"/>
  <c r="AE101" i="25"/>
  <c r="BP101" i="24"/>
  <c r="AX101" i="25" s="1"/>
  <c r="AE69" i="25"/>
  <c r="BP69" i="24"/>
  <c r="AX69" i="25" s="1"/>
  <c r="AE38" i="25"/>
  <c r="BP38" i="24"/>
  <c r="AX38" i="25" s="1"/>
  <c r="AE5" i="25"/>
  <c r="BP5" i="24"/>
  <c r="AX5" i="25" s="1"/>
  <c r="AE52" i="25"/>
  <c r="BP52" i="24"/>
  <c r="AX52" i="25" s="1"/>
  <c r="AF26" i="25"/>
  <c r="BQ26" i="24"/>
  <c r="AY26" i="25" s="1"/>
  <c r="AF64" i="25"/>
  <c r="BQ64" i="24"/>
  <c r="AY64" i="25" s="1"/>
  <c r="AF62" i="25"/>
  <c r="BQ62" i="24"/>
  <c r="AY62" i="25" s="1"/>
  <c r="AF49" i="25"/>
  <c r="BQ49" i="24"/>
  <c r="AY49" i="25" s="1"/>
  <c r="AF47" i="25"/>
  <c r="BQ47" i="24"/>
  <c r="AY47" i="25" s="1"/>
  <c r="AF44" i="25"/>
  <c r="BQ44" i="24"/>
  <c r="AY44" i="25" s="1"/>
  <c r="AF116" i="25"/>
  <c r="BQ116" i="24"/>
  <c r="AY116" i="25" s="1"/>
  <c r="AF70" i="25"/>
  <c r="BQ70" i="24"/>
  <c r="AY70" i="25" s="1"/>
  <c r="AF127" i="25"/>
  <c r="BQ127" i="24"/>
  <c r="AY127" i="25" s="1"/>
  <c r="AF66" i="25"/>
  <c r="BQ66" i="24"/>
  <c r="AY66" i="25" s="1"/>
  <c r="AF65" i="25"/>
  <c r="BQ65" i="24"/>
  <c r="AY65" i="25" s="1"/>
  <c r="AD78" i="25"/>
  <c r="BO78" i="24"/>
  <c r="AW78" i="25" s="1"/>
  <c r="AD14" i="25"/>
  <c r="BO14" i="24"/>
  <c r="AW14" i="25" s="1"/>
  <c r="AD25" i="25"/>
  <c r="BO25" i="24"/>
  <c r="AW25" i="25" s="1"/>
  <c r="AD97" i="25"/>
  <c r="BO97" i="24"/>
  <c r="AW97" i="25" s="1"/>
  <c r="AD33" i="25"/>
  <c r="BO33" i="24"/>
  <c r="AW33" i="25" s="1"/>
  <c r="AD37" i="25"/>
  <c r="BO37" i="24"/>
  <c r="AW37" i="25" s="1"/>
  <c r="AD101" i="25"/>
  <c r="BO101" i="24"/>
  <c r="AW101" i="25" s="1"/>
  <c r="AD27" i="25"/>
  <c r="BO27" i="24"/>
  <c r="AW27" i="25" s="1"/>
  <c r="AD16" i="25"/>
  <c r="BO16" i="24"/>
  <c r="AW16" i="25" s="1"/>
  <c r="AD107" i="25"/>
  <c r="BO107" i="24"/>
  <c r="AW107" i="25" s="1"/>
  <c r="AD91" i="25"/>
  <c r="BO91" i="24"/>
  <c r="AW91" i="25" s="1"/>
  <c r="AA59" i="25"/>
  <c r="BL59" i="24"/>
  <c r="AT59" i="25" s="1"/>
  <c r="AA67" i="25"/>
  <c r="BL67" i="24"/>
  <c r="AT67" i="25" s="1"/>
  <c r="AA65" i="25"/>
  <c r="BL65" i="24"/>
  <c r="AT65" i="25" s="1"/>
  <c r="AA43" i="25"/>
  <c r="BL43" i="24"/>
  <c r="AT43" i="25" s="1"/>
  <c r="AA40" i="25"/>
  <c r="BL40" i="24"/>
  <c r="AT40" i="25" s="1"/>
  <c r="AA20" i="25"/>
  <c r="BL20" i="24"/>
  <c r="AT20" i="25" s="1"/>
  <c r="Z72" i="25"/>
  <c r="BK72" i="24"/>
  <c r="AS72" i="25" s="1"/>
  <c r="Z124" i="25"/>
  <c r="BK124" i="24"/>
  <c r="AS124" i="25" s="1"/>
  <c r="Z65" i="25"/>
  <c r="BK65" i="24"/>
  <c r="AS65" i="25" s="1"/>
  <c r="Z55" i="25"/>
  <c r="BK55" i="24"/>
  <c r="AS55" i="25" s="1"/>
  <c r="AA132" i="25"/>
  <c r="BL132" i="24"/>
  <c r="AT132" i="25" s="1"/>
  <c r="Z6" i="25"/>
  <c r="BK6" i="24"/>
  <c r="AS6" i="25" s="1"/>
  <c r="AA53" i="25"/>
  <c r="BL53" i="24"/>
  <c r="AT53" i="25" s="1"/>
  <c r="AA5" i="25"/>
  <c r="BL5" i="24"/>
  <c r="AT5" i="25" s="1"/>
  <c r="Z36" i="25"/>
  <c r="BK36" i="24"/>
  <c r="AS36" i="25" s="1"/>
  <c r="AA97" i="25"/>
  <c r="BL97" i="24"/>
  <c r="AT97" i="25" s="1"/>
  <c r="AA104" i="25"/>
  <c r="BL104" i="24"/>
  <c r="AT104" i="25" s="1"/>
  <c r="AA130" i="25"/>
  <c r="BL130" i="24"/>
  <c r="AT130" i="25" s="1"/>
  <c r="CB138" i="24"/>
  <c r="BG36" i="24" l="1"/>
  <c r="AO36" i="25" s="1"/>
  <c r="BG34" i="24"/>
  <c r="AO34" i="25" s="1"/>
  <c r="V134" i="25"/>
  <c r="BG132" i="24"/>
  <c r="AO132" i="25" s="1"/>
  <c r="BG42" i="24"/>
  <c r="AO42" i="25" s="1"/>
  <c r="BG90" i="24"/>
  <c r="AO90" i="25" s="1"/>
  <c r="BG105" i="24"/>
  <c r="AO105" i="25" s="1"/>
  <c r="V136" i="25"/>
  <c r="V11" i="25"/>
  <c r="V54" i="25"/>
  <c r="BG55" i="24"/>
  <c r="AO55" i="25" s="1"/>
  <c r="BG128" i="24"/>
  <c r="AO128" i="25" s="1"/>
  <c r="V107" i="25"/>
  <c r="BG52" i="24"/>
  <c r="AO52" i="25" s="1"/>
  <c r="BG66" i="24"/>
  <c r="AO66" i="25" s="1"/>
  <c r="BG70" i="24"/>
  <c r="AO70" i="25" s="1"/>
  <c r="BG27" i="24"/>
  <c r="AO27" i="25" s="1"/>
  <c r="BG115" i="24"/>
  <c r="AO115" i="25" s="1"/>
  <c r="BG26" i="24"/>
  <c r="AO26" i="25" s="1"/>
  <c r="V22" i="25"/>
  <c r="BG73" i="24"/>
  <c r="AO73" i="25" s="1"/>
  <c r="V74" i="25"/>
  <c r="BG110" i="24"/>
  <c r="AO110" i="25" s="1"/>
  <c r="BG89" i="24"/>
  <c r="AO89" i="25" s="1"/>
  <c r="BG76" i="24"/>
  <c r="AO76" i="25" s="1"/>
  <c r="BG53" i="24"/>
  <c r="AO53" i="25" s="1"/>
  <c r="M37" i="24"/>
  <c r="I18" i="23"/>
  <c r="BG30" i="24"/>
  <c r="AO30" i="25" s="1"/>
  <c r="V72" i="25"/>
  <c r="BG61" i="24"/>
  <c r="AO61" i="25" s="1"/>
  <c r="BG68" i="24"/>
  <c r="AO68" i="25" s="1"/>
  <c r="BG64" i="24"/>
  <c r="AO64" i="25" s="1"/>
  <c r="BG124" i="24"/>
  <c r="AO124" i="25" s="1"/>
  <c r="BG114" i="24"/>
  <c r="AO114" i="25" s="1"/>
  <c r="V95" i="25"/>
  <c r="BG43" i="24"/>
  <c r="AO43" i="25" s="1"/>
  <c r="BG99" i="24"/>
  <c r="AO99" i="25" s="1"/>
  <c r="BG94" i="24"/>
  <c r="AO94" i="25" s="1"/>
  <c r="BG96" i="24"/>
  <c r="AO96" i="25" s="1"/>
  <c r="BG24" i="24"/>
  <c r="AO24" i="25" s="1"/>
  <c r="M30" i="36"/>
  <c r="O30" i="36" s="1"/>
  <c r="J23" i="36"/>
  <c r="L23" i="36" s="1"/>
  <c r="M33" i="36"/>
  <c r="O33" i="36" s="1"/>
  <c r="I27" i="23"/>
  <c r="K27" i="23" s="1"/>
  <c r="I31" i="23"/>
  <c r="K31" i="23" s="1"/>
  <c r="J30" i="36"/>
  <c r="L30" i="36" s="1"/>
  <c r="J34" i="36"/>
  <c r="L34" i="36" s="1"/>
  <c r="M29" i="36"/>
  <c r="O29" i="36" s="1"/>
  <c r="J25" i="36"/>
  <c r="L25" i="36" s="1"/>
  <c r="M25" i="36"/>
  <c r="O25" i="36" s="1"/>
  <c r="I29" i="23"/>
  <c r="K29" i="23" s="1"/>
  <c r="F32" i="23"/>
  <c r="H32" i="23" s="1"/>
  <c r="F31" i="23"/>
  <c r="H31" i="23" s="1"/>
  <c r="M31" i="36"/>
  <c r="O31" i="36" s="1"/>
  <c r="F23" i="23"/>
  <c r="H23" i="23" s="1"/>
  <c r="F29" i="23"/>
  <c r="H29" i="23" s="1"/>
  <c r="J31" i="36"/>
  <c r="L31" i="36" s="1"/>
  <c r="F18" i="23"/>
  <c r="M20" i="36"/>
  <c r="O20" i="36" s="1"/>
  <c r="I28" i="23"/>
  <c r="K28" i="23" s="1"/>
  <c r="J20" i="36"/>
  <c r="L20" i="36" s="1"/>
  <c r="I23" i="23"/>
  <c r="K23" i="23" s="1"/>
  <c r="M21" i="36"/>
  <c r="O21" i="36" s="1"/>
  <c r="J21" i="36"/>
  <c r="L21" i="36" s="1"/>
  <c r="I21" i="23"/>
  <c r="K21" i="23" s="1"/>
  <c r="M24" i="36"/>
  <c r="O24" i="36" s="1"/>
  <c r="J24" i="36"/>
  <c r="L24" i="36" s="1"/>
  <c r="M28" i="36"/>
  <c r="O28" i="36" s="1"/>
  <c r="M32" i="36"/>
  <c r="O32" i="36" s="1"/>
  <c r="J22" i="36"/>
  <c r="L22" i="36" s="1"/>
  <c r="J32" i="36"/>
  <c r="L32" i="36" s="1"/>
  <c r="J28" i="36"/>
  <c r="L28" i="36" s="1"/>
  <c r="M22" i="36"/>
  <c r="O22" i="36" s="1"/>
  <c r="C33" i="23"/>
  <c r="M18" i="36"/>
  <c r="O19" i="36" s="1"/>
  <c r="J18" i="36"/>
  <c r="L19" i="36" s="1"/>
  <c r="M23" i="36"/>
  <c r="O23" i="36" s="1"/>
  <c r="M27" i="36"/>
  <c r="O27" i="36" s="1"/>
  <c r="J27" i="36"/>
  <c r="L27" i="36" s="1"/>
  <c r="M26" i="36"/>
  <c r="O26" i="36" s="1"/>
  <c r="J26" i="36"/>
  <c r="L26" i="36" s="1"/>
  <c r="F30" i="23"/>
  <c r="H30" i="23" s="1"/>
  <c r="F26" i="23"/>
  <c r="H26" i="23" s="1"/>
  <c r="I24" i="23"/>
  <c r="K24" i="23" s="1"/>
  <c r="F24" i="23"/>
  <c r="H24" i="23" s="1"/>
  <c r="I25" i="23"/>
  <c r="K25" i="23" s="1"/>
  <c r="I30" i="23"/>
  <c r="K30" i="23" s="1"/>
  <c r="I20" i="23"/>
  <c r="K20" i="23" s="1"/>
  <c r="I19" i="23"/>
  <c r="K19" i="23" s="1"/>
  <c r="F20" i="23"/>
  <c r="H20" i="23" s="1"/>
  <c r="F19" i="23"/>
  <c r="H19" i="23" s="1"/>
  <c r="I16" i="23"/>
  <c r="K16" i="23" s="1"/>
  <c r="F21" i="23"/>
  <c r="H21" i="23" s="1"/>
  <c r="F16" i="23"/>
  <c r="H16" i="23" s="1"/>
  <c r="F25" i="23"/>
  <c r="H25" i="23" s="1"/>
  <c r="I26" i="23"/>
  <c r="K26" i="23" s="1"/>
  <c r="I22" i="23"/>
  <c r="K22" i="23" s="1"/>
  <c r="F22" i="23"/>
  <c r="H22" i="23" s="1"/>
  <c r="K17" i="23" l="1"/>
  <c r="H17" i="23"/>
  <c r="K18" i="23"/>
  <c r="H18" i="23"/>
  <c r="L18" i="36"/>
  <c r="O18" i="36"/>
  <c r="J35" i="36"/>
  <c r="L35" i="36" s="1"/>
  <c r="M35" i="36"/>
  <c r="O35" i="36" s="1"/>
  <c r="I33" i="23"/>
  <c r="K33" i="23" s="1"/>
  <c r="F33" i="23"/>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4" i="11"/>
  <c r="C48" i="15"/>
  <c r="C27" i="15"/>
  <c r="C25" i="15"/>
  <c r="B65" i="15"/>
  <c r="C14" i="15"/>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4" i="11"/>
  <c r="D6" i="11"/>
  <c r="D7" i="11"/>
  <c r="D8" i="11"/>
  <c r="D9" i="11"/>
  <c r="D12" i="11"/>
  <c r="D13" i="11"/>
  <c r="D14" i="11"/>
  <c r="D15" i="11"/>
  <c r="D16" i="11"/>
  <c r="D17" i="11"/>
  <c r="D19" i="11"/>
  <c r="D20" i="11"/>
  <c r="D22" i="11"/>
  <c r="D23" i="11"/>
  <c r="D24" i="11"/>
  <c r="D25" i="11"/>
  <c r="D26" i="11"/>
  <c r="D27" i="11"/>
  <c r="D30" i="11"/>
  <c r="D31" i="11"/>
  <c r="D32" i="11"/>
  <c r="D33" i="11"/>
  <c r="D35" i="11"/>
  <c r="D36" i="11"/>
  <c r="D37" i="11"/>
  <c r="D38" i="11"/>
  <c r="D39" i="11"/>
  <c r="D40" i="11"/>
  <c r="D41" i="11"/>
  <c r="D43" i="11"/>
  <c r="D44" i="11"/>
  <c r="D45" i="11"/>
  <c r="D46" i="11"/>
  <c r="D47" i="11"/>
  <c r="D48" i="11"/>
  <c r="D49" i="11"/>
  <c r="D50" i="11"/>
  <c r="D52" i="11"/>
  <c r="D53" i="11"/>
  <c r="D54" i="11"/>
  <c r="D56" i="11"/>
  <c r="D57" i="11"/>
  <c r="D58" i="11"/>
  <c r="D61" i="11"/>
  <c r="D63" i="11"/>
  <c r="D64" i="11"/>
  <c r="D65" i="11"/>
  <c r="D66" i="11"/>
  <c r="D67" i="11"/>
  <c r="D68" i="11"/>
  <c r="D69" i="11"/>
  <c r="D70" i="11"/>
  <c r="D71" i="11"/>
  <c r="D72" i="11"/>
  <c r="D73" i="11"/>
  <c r="D74" i="11"/>
  <c r="D76" i="11"/>
  <c r="D78" i="11"/>
  <c r="D79" i="11"/>
  <c r="D80" i="11"/>
  <c r="D82" i="11"/>
  <c r="D83" i="11"/>
  <c r="D84" i="11"/>
  <c r="D86" i="11"/>
  <c r="D87" i="11"/>
  <c r="D88" i="11"/>
  <c r="D90" i="11"/>
  <c r="D91" i="11"/>
  <c r="D92" i="11"/>
  <c r="D93" i="11"/>
  <c r="D94" i="11"/>
  <c r="D95" i="11"/>
  <c r="D96" i="11"/>
  <c r="D97" i="11"/>
  <c r="D98" i="11"/>
  <c r="D99" i="11"/>
  <c r="D100" i="11"/>
  <c r="D102" i="11"/>
  <c r="D103" i="11"/>
  <c r="D105" i="11"/>
  <c r="D106" i="11"/>
  <c r="D107" i="11"/>
  <c r="D108" i="11"/>
  <c r="D109" i="11"/>
  <c r="D111" i="11"/>
  <c r="D112" i="11"/>
  <c r="D114" i="11"/>
  <c r="D115" i="11"/>
  <c r="D116" i="11"/>
  <c r="D117" i="11"/>
  <c r="D119" i="11"/>
  <c r="D120" i="11"/>
  <c r="D122" i="11"/>
  <c r="D124" i="11"/>
  <c r="D125" i="11"/>
  <c r="D126" i="11"/>
  <c r="D128" i="11"/>
  <c r="D131" i="11"/>
  <c r="D132" i="11"/>
  <c r="D133" i="11"/>
  <c r="D135" i="11"/>
  <c r="D136" i="11"/>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4" i="9"/>
  <c r="P4" i="9" s="1"/>
  <c r="H33" i="23" l="1"/>
  <c r="H138" i="11"/>
  <c r="C51" i="9"/>
  <c r="F51" i="9" s="1"/>
  <c r="F22" i="9" s="1"/>
  <c r="C50" i="9"/>
  <c r="F50" i="9" s="1"/>
  <c r="F21" i="9" s="1"/>
  <c r="C49" i="9"/>
  <c r="F49" i="9" s="1"/>
  <c r="F20" i="9" s="1"/>
  <c r="C48" i="9"/>
  <c r="C19" i="9" s="1"/>
  <c r="C47" i="9"/>
  <c r="F47" i="9" s="1"/>
  <c r="F18" i="9" s="1"/>
  <c r="H46" i="9"/>
  <c r="C46" i="9"/>
  <c r="F46" i="9" s="1"/>
  <c r="F17" i="9" s="1"/>
  <c r="C45" i="9"/>
  <c r="C16" i="9" s="1"/>
  <c r="H44" i="9"/>
  <c r="D44" i="9"/>
  <c r="D15" i="9" s="1"/>
  <c r="C44" i="9"/>
  <c r="C15" i="9" s="1"/>
  <c r="D43" i="9"/>
  <c r="D14" i="9" s="1"/>
  <c r="C43" i="9"/>
  <c r="H42" i="9"/>
  <c r="D42" i="9"/>
  <c r="D13" i="9" s="1"/>
  <c r="C42" i="9"/>
  <c r="D41" i="9"/>
  <c r="D12" i="9" s="1"/>
  <c r="C41" i="9"/>
  <c r="C12" i="9" s="1"/>
  <c r="H40" i="9"/>
  <c r="D40" i="9"/>
  <c r="C40" i="9"/>
  <c r="C11" i="9" s="1"/>
  <c r="D39" i="9"/>
  <c r="D10" i="9" s="1"/>
  <c r="C39" i="9"/>
  <c r="C10" i="9" s="1"/>
  <c r="H38" i="9"/>
  <c r="C38" i="9"/>
  <c r="C9" i="9" s="1"/>
  <c r="C37" i="9"/>
  <c r="F37" i="9" s="1"/>
  <c r="F8" i="9" s="1"/>
  <c r="C36" i="9"/>
  <c r="C7" i="9" s="1"/>
  <c r="H35" i="9"/>
  <c r="D35" i="9"/>
  <c r="D6" i="9" s="1"/>
  <c r="C35" i="9"/>
  <c r="C6" i="9" s="1"/>
  <c r="C34" i="9"/>
  <c r="E23" i="9"/>
  <c r="D21" i="9"/>
  <c r="D20" i="9"/>
  <c r="D19" i="9"/>
  <c r="D18" i="9"/>
  <c r="D17" i="9"/>
  <c r="D16" i="9"/>
  <c r="D9" i="9"/>
  <c r="D8" i="9"/>
  <c r="D7" i="9"/>
  <c r="C5" i="9" l="1"/>
  <c r="N50" i="9" s="1"/>
  <c r="C53" i="9"/>
  <c r="C18" i="9"/>
  <c r="G18" i="9" s="1"/>
  <c r="F42" i="9"/>
  <c r="F13" i="9" s="1"/>
  <c r="F38" i="9"/>
  <c r="F9" i="9" s="1"/>
  <c r="G9" i="9" s="1"/>
  <c r="C21" i="9"/>
  <c r="G21" i="9" s="1"/>
  <c r="C22" i="9"/>
  <c r="G22" i="9" s="1"/>
  <c r="F43" i="9"/>
  <c r="F14" i="9" s="1"/>
  <c r="C17" i="9"/>
  <c r="G17" i="9" s="1"/>
  <c r="F39" i="9"/>
  <c r="F10" i="9" s="1"/>
  <c r="G10" i="9" s="1"/>
  <c r="F40" i="9"/>
  <c r="F11" i="9" s="1"/>
  <c r="F35" i="9"/>
  <c r="F45" i="9"/>
  <c r="F16" i="9" s="1"/>
  <c r="G16" i="9" s="1"/>
  <c r="T12" i="9"/>
  <c r="T17" i="9"/>
  <c r="T24" i="9"/>
  <c r="T135" i="9"/>
  <c r="T111" i="9"/>
  <c r="T95" i="9"/>
  <c r="T83" i="9"/>
  <c r="T71" i="9"/>
  <c r="T63" i="9"/>
  <c r="T18" i="9"/>
  <c r="T45" i="9"/>
  <c r="T43" i="9"/>
  <c r="T35" i="9"/>
  <c r="T33" i="9"/>
  <c r="T29" i="9"/>
  <c r="T25" i="9"/>
  <c r="T5" i="9"/>
  <c r="T10" i="9"/>
  <c r="T49" i="9"/>
  <c r="T32" i="9"/>
  <c r="T131" i="9"/>
  <c r="T115" i="9"/>
  <c r="T91" i="9"/>
  <c r="T79" i="9"/>
  <c r="T67" i="9"/>
  <c r="T55" i="9"/>
  <c r="T136" i="9"/>
  <c r="T132" i="9"/>
  <c r="T128" i="9"/>
  <c r="T124" i="9"/>
  <c r="T120" i="9"/>
  <c r="T116" i="9"/>
  <c r="T112" i="9"/>
  <c r="T108" i="9"/>
  <c r="T104" i="9"/>
  <c r="T100" i="9"/>
  <c r="T96" i="9"/>
  <c r="T92" i="9"/>
  <c r="T88" i="9"/>
  <c r="T84" i="9"/>
  <c r="T80" i="9"/>
  <c r="T76" i="9"/>
  <c r="T72" i="9"/>
  <c r="T68" i="9"/>
  <c r="T64" i="9"/>
  <c r="T60" i="9"/>
  <c r="T56" i="9"/>
  <c r="T47" i="9"/>
  <c r="T41" i="9"/>
  <c r="T99" i="9"/>
  <c r="T13" i="9"/>
  <c r="T44" i="9"/>
  <c r="T4" i="9"/>
  <c r="T52" i="9"/>
  <c r="T39" i="9"/>
  <c r="T37" i="9"/>
  <c r="T22" i="9"/>
  <c r="T15" i="9"/>
  <c r="T28" i="9"/>
  <c r="T20" i="9"/>
  <c r="T8" i="9"/>
  <c r="T127" i="9"/>
  <c r="T119" i="9"/>
  <c r="T107" i="9"/>
  <c r="T103" i="9"/>
  <c r="T87" i="9"/>
  <c r="T75" i="9"/>
  <c r="T59" i="9"/>
  <c r="T6" i="9"/>
  <c r="T123" i="9"/>
  <c r="T51" i="9"/>
  <c r="T46" i="9"/>
  <c r="T42" i="9"/>
  <c r="T31" i="9"/>
  <c r="T27" i="9"/>
  <c r="T23" i="9"/>
  <c r="T11" i="9"/>
  <c r="T125" i="9"/>
  <c r="T105" i="9"/>
  <c r="T85" i="9"/>
  <c r="T69" i="9"/>
  <c r="T57" i="9"/>
  <c r="T134" i="9"/>
  <c r="T130" i="9"/>
  <c r="T126" i="9"/>
  <c r="T122" i="9"/>
  <c r="T118" i="9"/>
  <c r="T114" i="9"/>
  <c r="T110" i="9"/>
  <c r="T106" i="9"/>
  <c r="T102" i="9"/>
  <c r="T98" i="9"/>
  <c r="T94" i="9"/>
  <c r="T90" i="9"/>
  <c r="T86" i="9"/>
  <c r="T82" i="9"/>
  <c r="T78" i="9"/>
  <c r="T74" i="9"/>
  <c r="T70" i="9"/>
  <c r="T66" i="9"/>
  <c r="T62" i="9"/>
  <c r="T58" i="9"/>
  <c r="T54" i="9"/>
  <c r="T40" i="9"/>
  <c r="T36" i="9"/>
  <c r="T34" i="9"/>
  <c r="T16" i="9"/>
  <c r="T30" i="9"/>
  <c r="T26" i="9"/>
  <c r="T14" i="9"/>
  <c r="T133" i="9"/>
  <c r="T121" i="9"/>
  <c r="T109" i="9"/>
  <c r="T101" i="9"/>
  <c r="T89" i="9"/>
  <c r="T77" i="9"/>
  <c r="T65" i="9"/>
  <c r="T50" i="9"/>
  <c r="T19" i="9"/>
  <c r="T7" i="9"/>
  <c r="T48" i="9"/>
  <c r="T38" i="9"/>
  <c r="T21" i="9"/>
  <c r="T9" i="9"/>
  <c r="T129" i="9"/>
  <c r="T117" i="9"/>
  <c r="T113" i="9"/>
  <c r="T97" i="9"/>
  <c r="T93" i="9"/>
  <c r="T81" i="9"/>
  <c r="T73" i="9"/>
  <c r="T61" i="9"/>
  <c r="T53" i="9"/>
  <c r="C13" i="9"/>
  <c r="F34" i="9"/>
  <c r="F36" i="9"/>
  <c r="F7" i="9" s="1"/>
  <c r="D11" i="9"/>
  <c r="F48" i="9"/>
  <c r="F19" i="9" s="1"/>
  <c r="G19" i="9" s="1"/>
  <c r="C8" i="9"/>
  <c r="G8" i="9" s="1"/>
  <c r="C20" i="9"/>
  <c r="G20" i="9" s="1"/>
  <c r="F44" i="9"/>
  <c r="F15" i="9" s="1"/>
  <c r="G15" i="9" s="1"/>
  <c r="F41" i="9"/>
  <c r="F12" i="9" s="1"/>
  <c r="G12" i="9" s="1"/>
  <c r="C14" i="9"/>
  <c r="N101" i="9" l="1"/>
  <c r="N16" i="9"/>
  <c r="N113" i="9"/>
  <c r="N39" i="9"/>
  <c r="N27" i="9"/>
  <c r="N15" i="9"/>
  <c r="N125" i="9"/>
  <c r="N21" i="9"/>
  <c r="N49" i="9"/>
  <c r="N20" i="9"/>
  <c r="N48" i="9"/>
  <c r="N8" i="9"/>
  <c r="N35" i="9"/>
  <c r="N7" i="9"/>
  <c r="N23" i="9"/>
  <c r="N126" i="9"/>
  <c r="N105" i="9"/>
  <c r="N37" i="9"/>
  <c r="N69" i="9"/>
  <c r="N36" i="9"/>
  <c r="N81" i="9"/>
  <c r="N76" i="9"/>
  <c r="N11" i="9"/>
  <c r="N57" i="9"/>
  <c r="N40" i="9"/>
  <c r="N22" i="9"/>
  <c r="N25" i="9"/>
  <c r="N9" i="9"/>
  <c r="N33" i="9"/>
  <c r="N65" i="9"/>
  <c r="N62" i="9"/>
  <c r="N12" i="9"/>
  <c r="N45" i="9"/>
  <c r="N127" i="9"/>
  <c r="N102" i="9"/>
  <c r="N53" i="9"/>
  <c r="N88" i="9"/>
  <c r="N122" i="9"/>
  <c r="N134" i="9"/>
  <c r="N98" i="9"/>
  <c r="N118" i="9"/>
  <c r="N114" i="9"/>
  <c r="N130" i="9"/>
  <c r="N128" i="9"/>
  <c r="N115" i="9"/>
  <c r="N66" i="9"/>
  <c r="N41" i="9"/>
  <c r="N28" i="9"/>
  <c r="N74" i="9"/>
  <c r="N86" i="9"/>
  <c r="N119" i="9"/>
  <c r="N106" i="9"/>
  <c r="N124" i="9"/>
  <c r="N103" i="9"/>
  <c r="N54" i="9"/>
  <c r="N135" i="9"/>
  <c r="N38" i="9"/>
  <c r="N107" i="9"/>
  <c r="N104" i="9"/>
  <c r="N67" i="9"/>
  <c r="N42" i="9"/>
  <c r="N17" i="9"/>
  <c r="N123" i="9"/>
  <c r="N133" i="9"/>
  <c r="N108" i="9"/>
  <c r="N95" i="9"/>
  <c r="N82" i="9"/>
  <c r="N24" i="9"/>
  <c r="N13" i="9"/>
  <c r="N116" i="9"/>
  <c r="N29" i="9"/>
  <c r="N14" i="9"/>
  <c r="N94" i="9"/>
  <c r="N92" i="9"/>
  <c r="N55" i="9"/>
  <c r="N30" i="9"/>
  <c r="N5" i="9"/>
  <c r="N111" i="9"/>
  <c r="N121" i="9"/>
  <c r="N96" i="9"/>
  <c r="N83" i="9"/>
  <c r="N70" i="9"/>
  <c r="N56" i="9"/>
  <c r="N18" i="9"/>
  <c r="N99" i="9"/>
  <c r="N84" i="9"/>
  <c r="N58" i="9"/>
  <c r="N44" i="9"/>
  <c r="N31" i="9"/>
  <c r="N6" i="9"/>
  <c r="N112" i="9"/>
  <c r="N87" i="9"/>
  <c r="N73" i="9"/>
  <c r="N72" i="9"/>
  <c r="N59" i="9"/>
  <c r="N46" i="9"/>
  <c r="N43" i="9"/>
  <c r="N136" i="9"/>
  <c r="N85" i="9"/>
  <c r="N71" i="9"/>
  <c r="G5" i="9"/>
  <c r="H26" i="9" s="1"/>
  <c r="N93" i="9"/>
  <c r="N32" i="9"/>
  <c r="N19" i="9"/>
  <c r="N4" i="9"/>
  <c r="N100" i="9"/>
  <c r="N51" i="9"/>
  <c r="N61" i="9"/>
  <c r="N60" i="9"/>
  <c r="N47" i="9"/>
  <c r="N34" i="9"/>
  <c r="N117" i="9"/>
  <c r="N80" i="9"/>
  <c r="N91" i="9"/>
  <c r="N90" i="9"/>
  <c r="N89" i="9"/>
  <c r="N64" i="9"/>
  <c r="N75" i="9"/>
  <c r="N109" i="9"/>
  <c r="N132" i="9"/>
  <c r="N26" i="9"/>
  <c r="N110" i="9"/>
  <c r="N10" i="9"/>
  <c r="N129" i="9"/>
  <c r="N68" i="9"/>
  <c r="N79" i="9"/>
  <c r="N78" i="9"/>
  <c r="N77" i="9"/>
  <c r="N52" i="9"/>
  <c r="N63" i="9"/>
  <c r="N97" i="9"/>
  <c r="N120" i="9"/>
  <c r="N131" i="9"/>
  <c r="G11" i="9"/>
  <c r="I138" i="11"/>
  <c r="Q13" i="9"/>
  <c r="Q25" i="9"/>
  <c r="Q37" i="9"/>
  <c r="Q49" i="9"/>
  <c r="Q61" i="9"/>
  <c r="Q73" i="9"/>
  <c r="Q85" i="9"/>
  <c r="Q97" i="9"/>
  <c r="C97" i="11" s="1"/>
  <c r="Q109" i="9"/>
  <c r="Q121" i="9"/>
  <c r="Q133" i="9"/>
  <c r="Q17" i="9"/>
  <c r="Q77" i="9"/>
  <c r="Q4" i="9"/>
  <c r="Q14" i="9"/>
  <c r="Q26" i="9"/>
  <c r="Q38" i="9"/>
  <c r="Q50" i="9"/>
  <c r="C50" i="11" s="1"/>
  <c r="Q62" i="9"/>
  <c r="Q74" i="9"/>
  <c r="Q86" i="9"/>
  <c r="Q98" i="9"/>
  <c r="Q110" i="9"/>
  <c r="C110" i="11" s="1"/>
  <c r="Q122" i="9"/>
  <c r="Q134" i="9"/>
  <c r="Q41" i="9"/>
  <c r="Q101" i="9"/>
  <c r="Q15" i="9"/>
  <c r="C15" i="11" s="1"/>
  <c r="Q27" i="9"/>
  <c r="Q39" i="9"/>
  <c r="Q51" i="9"/>
  <c r="Q63" i="9"/>
  <c r="Q75" i="9"/>
  <c r="Q87" i="9"/>
  <c r="Q99" i="9"/>
  <c r="Q111" i="9"/>
  <c r="Q123" i="9"/>
  <c r="Q135" i="9"/>
  <c r="Q29" i="9"/>
  <c r="Q89" i="9"/>
  <c r="Q16" i="9"/>
  <c r="Q28" i="9"/>
  <c r="Q40" i="9"/>
  <c r="Q52" i="9"/>
  <c r="Q64" i="9"/>
  <c r="Q76" i="9"/>
  <c r="Q88" i="9"/>
  <c r="Q100" i="9"/>
  <c r="Q112" i="9"/>
  <c r="Q124" i="9"/>
  <c r="C124" i="11" s="1"/>
  <c r="Q136" i="9"/>
  <c r="Q65" i="9"/>
  <c r="Q125" i="9"/>
  <c r="Q5" i="9"/>
  <c r="Q53" i="9"/>
  <c r="Q113" i="9"/>
  <c r="Q6" i="9"/>
  <c r="Q18" i="9"/>
  <c r="Q30" i="9"/>
  <c r="Q42" i="9"/>
  <c r="Q54" i="9"/>
  <c r="Q66" i="9"/>
  <c r="Q78" i="9"/>
  <c r="Q90" i="9"/>
  <c r="C90" i="11" s="1"/>
  <c r="Q102" i="9"/>
  <c r="Q114" i="9"/>
  <c r="Q126" i="9"/>
  <c r="Q91" i="9"/>
  <c r="Q7" i="9"/>
  <c r="Q19" i="9"/>
  <c r="Q31" i="9"/>
  <c r="Q43" i="9"/>
  <c r="Q55" i="9"/>
  <c r="Q67" i="9"/>
  <c r="Q79" i="9"/>
  <c r="C79" i="11" s="1"/>
  <c r="Q103" i="9"/>
  <c r="Q115" i="9"/>
  <c r="Q127" i="9"/>
  <c r="Q8" i="9"/>
  <c r="Q20" i="9"/>
  <c r="Q32" i="9"/>
  <c r="Q44" i="9"/>
  <c r="Q56" i="9"/>
  <c r="Q68" i="9"/>
  <c r="Q80" i="9"/>
  <c r="Q92" i="9"/>
  <c r="Q104" i="9"/>
  <c r="Q116" i="9"/>
  <c r="Q128" i="9"/>
  <c r="C128" i="11" s="1"/>
  <c r="Q9" i="9"/>
  <c r="Q21" i="9"/>
  <c r="Q33" i="9"/>
  <c r="Q45" i="9"/>
  <c r="Q57" i="9"/>
  <c r="Q69" i="9"/>
  <c r="Q81" i="9"/>
  <c r="Q93" i="9"/>
  <c r="Q105" i="9"/>
  <c r="C105" i="11" s="1"/>
  <c r="Q117" i="9"/>
  <c r="Q129" i="9"/>
  <c r="Q36" i="9"/>
  <c r="C36" i="11" s="1"/>
  <c r="Q96" i="9"/>
  <c r="Q10" i="9"/>
  <c r="Q22" i="9"/>
  <c r="Q34" i="9"/>
  <c r="Q46" i="9"/>
  <c r="Q58" i="9"/>
  <c r="Q70" i="9"/>
  <c r="Q82" i="9"/>
  <c r="Q94" i="9"/>
  <c r="Q106" i="9"/>
  <c r="Q118" i="9"/>
  <c r="Q130" i="9"/>
  <c r="Q24" i="9"/>
  <c r="Q60" i="9"/>
  <c r="Q132" i="9"/>
  <c r="Q11" i="9"/>
  <c r="C11" i="11" s="1"/>
  <c r="Q23" i="9"/>
  <c r="Q35" i="9"/>
  <c r="Q47" i="9"/>
  <c r="Q59" i="9"/>
  <c r="Q71" i="9"/>
  <c r="Q83" i="9"/>
  <c r="Q95" i="9"/>
  <c r="Q107" i="9"/>
  <c r="Q119" i="9"/>
  <c r="Q131" i="9"/>
  <c r="Q12" i="9"/>
  <c r="Q48" i="9"/>
  <c r="C48" i="11" s="1"/>
  <c r="Q72" i="9"/>
  <c r="Q84" i="9"/>
  <c r="C84" i="11" s="1"/>
  <c r="Q108" i="9"/>
  <c r="Q120" i="9"/>
  <c r="G14" i="9"/>
  <c r="G13" i="9"/>
  <c r="T138" i="9"/>
  <c r="D23" i="9"/>
  <c r="U45" i="9"/>
  <c r="V45" i="9" s="1"/>
  <c r="U43" i="9"/>
  <c r="V43" i="9" s="1"/>
  <c r="U35" i="9"/>
  <c r="V35" i="9" s="1"/>
  <c r="U33" i="9"/>
  <c r="V33" i="9" s="1"/>
  <c r="U29" i="9"/>
  <c r="V29" i="9" s="1"/>
  <c r="U25" i="9"/>
  <c r="V25" i="9" s="1"/>
  <c r="U17" i="9"/>
  <c r="V17" i="9" s="1"/>
  <c r="U5" i="9"/>
  <c r="V5" i="9" s="1"/>
  <c r="U10" i="9"/>
  <c r="V10" i="9" s="1"/>
  <c r="U51" i="9"/>
  <c r="V51" i="9" s="1"/>
  <c r="U6" i="9"/>
  <c r="V6" i="9" s="1"/>
  <c r="U42" i="9"/>
  <c r="V42" i="9" s="1"/>
  <c r="U23" i="9"/>
  <c r="V23" i="9" s="1"/>
  <c r="U11" i="9"/>
  <c r="V11" i="9" s="1"/>
  <c r="U136" i="9"/>
  <c r="V136" i="9" s="1"/>
  <c r="U132" i="9"/>
  <c r="V132" i="9" s="1"/>
  <c r="U128" i="9"/>
  <c r="V128" i="9" s="1"/>
  <c r="U124" i="9"/>
  <c r="V124" i="9" s="1"/>
  <c r="U120" i="9"/>
  <c r="V120" i="9" s="1"/>
  <c r="U116" i="9"/>
  <c r="V116" i="9" s="1"/>
  <c r="U112" i="9"/>
  <c r="V112" i="9" s="1"/>
  <c r="U108" i="9"/>
  <c r="V108" i="9" s="1"/>
  <c r="U104" i="9"/>
  <c r="V104" i="9" s="1"/>
  <c r="U100" i="9"/>
  <c r="V100" i="9" s="1"/>
  <c r="U96" i="9"/>
  <c r="V96" i="9" s="1"/>
  <c r="U92" i="9"/>
  <c r="V92" i="9" s="1"/>
  <c r="U88" i="9"/>
  <c r="V88" i="9" s="1"/>
  <c r="U84" i="9"/>
  <c r="V84" i="9" s="1"/>
  <c r="U80" i="9"/>
  <c r="V80" i="9" s="1"/>
  <c r="U76" i="9"/>
  <c r="V76" i="9" s="1"/>
  <c r="U72" i="9"/>
  <c r="V72" i="9" s="1"/>
  <c r="U68" i="9"/>
  <c r="V68" i="9" s="1"/>
  <c r="U64" i="9"/>
  <c r="V64" i="9" s="1"/>
  <c r="U60" i="9"/>
  <c r="V60" i="9" s="1"/>
  <c r="U56" i="9"/>
  <c r="V56" i="9" s="1"/>
  <c r="U47" i="9"/>
  <c r="V47" i="9" s="1"/>
  <c r="U41" i="9"/>
  <c r="V41" i="9" s="1"/>
  <c r="U13" i="9"/>
  <c r="V13" i="9" s="1"/>
  <c r="U4" i="9"/>
  <c r="U52" i="9"/>
  <c r="V52" i="9" s="1"/>
  <c r="U39" i="9"/>
  <c r="V39" i="9" s="1"/>
  <c r="U37" i="9"/>
  <c r="V37" i="9" s="1"/>
  <c r="U22" i="9"/>
  <c r="V22" i="9" s="1"/>
  <c r="U15" i="9"/>
  <c r="V15" i="9" s="1"/>
  <c r="U18" i="9"/>
  <c r="V18" i="9" s="1"/>
  <c r="U31" i="9"/>
  <c r="V31" i="9" s="1"/>
  <c r="U49" i="9"/>
  <c r="V49" i="9" s="1"/>
  <c r="U32" i="9"/>
  <c r="V32" i="9" s="1"/>
  <c r="U28" i="9"/>
  <c r="V28" i="9" s="1"/>
  <c r="U24" i="9"/>
  <c r="V24" i="9" s="1"/>
  <c r="U20" i="9"/>
  <c r="V20" i="9" s="1"/>
  <c r="U8" i="9"/>
  <c r="V8" i="9" s="1"/>
  <c r="U135" i="9"/>
  <c r="V135" i="9" s="1"/>
  <c r="U131" i="9"/>
  <c r="V131" i="9" s="1"/>
  <c r="U127" i="9"/>
  <c r="V127" i="9" s="1"/>
  <c r="U123" i="9"/>
  <c r="V123" i="9" s="1"/>
  <c r="U119" i="9"/>
  <c r="V119" i="9" s="1"/>
  <c r="U115" i="9"/>
  <c r="V115" i="9" s="1"/>
  <c r="U111" i="9"/>
  <c r="V111" i="9" s="1"/>
  <c r="U107" i="9"/>
  <c r="V107" i="9" s="1"/>
  <c r="U103" i="9"/>
  <c r="V103" i="9" s="1"/>
  <c r="U99" i="9"/>
  <c r="V99" i="9" s="1"/>
  <c r="U95" i="9"/>
  <c r="V95" i="9" s="1"/>
  <c r="U91" i="9"/>
  <c r="V91" i="9" s="1"/>
  <c r="U87" i="9"/>
  <c r="V87" i="9" s="1"/>
  <c r="U83" i="9"/>
  <c r="V83" i="9" s="1"/>
  <c r="U79" i="9"/>
  <c r="V79" i="9" s="1"/>
  <c r="U75" i="9"/>
  <c r="V75" i="9" s="1"/>
  <c r="U71" i="9"/>
  <c r="V71" i="9" s="1"/>
  <c r="U67" i="9"/>
  <c r="V67" i="9" s="1"/>
  <c r="U63" i="9"/>
  <c r="V63" i="9" s="1"/>
  <c r="U59" i="9"/>
  <c r="V59" i="9" s="1"/>
  <c r="U55" i="9"/>
  <c r="V55" i="9" s="1"/>
  <c r="U27" i="9"/>
  <c r="V27" i="9" s="1"/>
  <c r="U44" i="9"/>
  <c r="V44" i="9" s="1"/>
  <c r="U46" i="9"/>
  <c r="V46" i="9" s="1"/>
  <c r="U134" i="9"/>
  <c r="V134" i="9" s="1"/>
  <c r="U130" i="9"/>
  <c r="V130" i="9" s="1"/>
  <c r="U126" i="9"/>
  <c r="V126" i="9" s="1"/>
  <c r="U122" i="9"/>
  <c r="V122" i="9" s="1"/>
  <c r="U118" i="9"/>
  <c r="V118" i="9" s="1"/>
  <c r="U114" i="9"/>
  <c r="V114" i="9" s="1"/>
  <c r="U110" i="9"/>
  <c r="V110" i="9" s="1"/>
  <c r="U106" i="9"/>
  <c r="V106" i="9" s="1"/>
  <c r="U102" i="9"/>
  <c r="V102" i="9" s="1"/>
  <c r="U98" i="9"/>
  <c r="V98" i="9" s="1"/>
  <c r="U94" i="9"/>
  <c r="V94" i="9" s="1"/>
  <c r="U90" i="9"/>
  <c r="V90" i="9" s="1"/>
  <c r="U86" i="9"/>
  <c r="V86" i="9" s="1"/>
  <c r="U82" i="9"/>
  <c r="V82" i="9" s="1"/>
  <c r="U78" i="9"/>
  <c r="V78" i="9" s="1"/>
  <c r="U74" i="9"/>
  <c r="V74" i="9" s="1"/>
  <c r="U70" i="9"/>
  <c r="V70" i="9" s="1"/>
  <c r="U66" i="9"/>
  <c r="V66" i="9" s="1"/>
  <c r="U62" i="9"/>
  <c r="V62" i="9" s="1"/>
  <c r="U58" i="9"/>
  <c r="V58" i="9" s="1"/>
  <c r="U54" i="9"/>
  <c r="V54" i="9" s="1"/>
  <c r="U40" i="9"/>
  <c r="V40" i="9" s="1"/>
  <c r="U36" i="9"/>
  <c r="V36" i="9" s="1"/>
  <c r="U34" i="9"/>
  <c r="V34" i="9" s="1"/>
  <c r="U16" i="9"/>
  <c r="V16" i="9" s="1"/>
  <c r="U125" i="9"/>
  <c r="V125" i="9" s="1"/>
  <c r="U117" i="9"/>
  <c r="V117" i="9" s="1"/>
  <c r="U109" i="9"/>
  <c r="V109" i="9" s="1"/>
  <c r="U101" i="9"/>
  <c r="V101" i="9" s="1"/>
  <c r="U93" i="9"/>
  <c r="V93" i="9" s="1"/>
  <c r="U7" i="9"/>
  <c r="V7" i="9" s="1"/>
  <c r="U48" i="9"/>
  <c r="V48" i="9" s="1"/>
  <c r="U38" i="9"/>
  <c r="V38" i="9" s="1"/>
  <c r="U21" i="9"/>
  <c r="V21" i="9" s="1"/>
  <c r="U9" i="9"/>
  <c r="V9" i="9" s="1"/>
  <c r="U129" i="9"/>
  <c r="V129" i="9" s="1"/>
  <c r="U121" i="9"/>
  <c r="V121" i="9" s="1"/>
  <c r="U113" i="9"/>
  <c r="V113" i="9" s="1"/>
  <c r="U105" i="9"/>
  <c r="V105" i="9" s="1"/>
  <c r="U97" i="9"/>
  <c r="V97" i="9" s="1"/>
  <c r="U89" i="9"/>
  <c r="V89" i="9" s="1"/>
  <c r="U85" i="9"/>
  <c r="V85" i="9" s="1"/>
  <c r="U81" i="9"/>
  <c r="V81" i="9" s="1"/>
  <c r="U77" i="9"/>
  <c r="V77" i="9" s="1"/>
  <c r="U73" i="9"/>
  <c r="V73" i="9" s="1"/>
  <c r="U69" i="9"/>
  <c r="V69" i="9" s="1"/>
  <c r="U65" i="9"/>
  <c r="V65" i="9" s="1"/>
  <c r="U61" i="9"/>
  <c r="V61" i="9" s="1"/>
  <c r="U57" i="9"/>
  <c r="V57" i="9" s="1"/>
  <c r="U53" i="9"/>
  <c r="V53" i="9" s="1"/>
  <c r="U50" i="9"/>
  <c r="V50" i="9" s="1"/>
  <c r="U19" i="9"/>
  <c r="V19" i="9" s="1"/>
  <c r="U30" i="9"/>
  <c r="V30" i="9" s="1"/>
  <c r="U26" i="9"/>
  <c r="V26" i="9" s="1"/>
  <c r="U14" i="9"/>
  <c r="V14" i="9" s="1"/>
  <c r="U133" i="9"/>
  <c r="V133" i="9" s="1"/>
  <c r="U12" i="9"/>
  <c r="V12" i="9" s="1"/>
  <c r="F53" i="9"/>
  <c r="F6" i="9"/>
  <c r="G7" i="9"/>
  <c r="C23" i="9"/>
  <c r="C73" i="11" l="1"/>
  <c r="C55" i="11"/>
  <c r="C123" i="11"/>
  <c r="C134" i="11"/>
  <c r="C23" i="11"/>
  <c r="C126" i="11"/>
  <c r="C39" i="11"/>
  <c r="C27" i="11"/>
  <c r="C118" i="11"/>
  <c r="C113" i="11"/>
  <c r="C37" i="11"/>
  <c r="C16" i="11"/>
  <c r="C80" i="11"/>
  <c r="C108" i="11"/>
  <c r="C125" i="11"/>
  <c r="C72" i="11"/>
  <c r="C20" i="11"/>
  <c r="C107" i="11"/>
  <c r="C116" i="11"/>
  <c r="C82" i="11"/>
  <c r="C54" i="11"/>
  <c r="C68" i="11"/>
  <c r="C21" i="11"/>
  <c r="C112" i="11"/>
  <c r="C70" i="11"/>
  <c r="C69" i="11"/>
  <c r="C57" i="11"/>
  <c r="C7" i="11"/>
  <c r="C75" i="11"/>
  <c r="C76" i="11"/>
  <c r="C49" i="11"/>
  <c r="C81" i="11"/>
  <c r="C8" i="11"/>
  <c r="C104" i="11"/>
  <c r="C29" i="11"/>
  <c r="C101" i="11"/>
  <c r="C59" i="11"/>
  <c r="C35" i="11"/>
  <c r="C56" i="11"/>
  <c r="C88" i="11"/>
  <c r="C99" i="11"/>
  <c r="C131" i="11"/>
  <c r="C94" i="11"/>
  <c r="C106" i="11"/>
  <c r="C117" i="11"/>
  <c r="C67" i="11"/>
  <c r="C66" i="11"/>
  <c r="C135" i="11"/>
  <c r="C41" i="11"/>
  <c r="C129" i="11"/>
  <c r="C71" i="11"/>
  <c r="C58" i="11"/>
  <c r="C34" i="11"/>
  <c r="C22" i="11"/>
  <c r="C63" i="11"/>
  <c r="C74" i="11"/>
  <c r="C60" i="11"/>
  <c r="C40" i="11"/>
  <c r="C127" i="11"/>
  <c r="C25" i="11"/>
  <c r="C95" i="11"/>
  <c r="C103" i="11"/>
  <c r="C65" i="11"/>
  <c r="C26" i="11"/>
  <c r="C93" i="11"/>
  <c r="C43" i="11"/>
  <c r="C42" i="11"/>
  <c r="C111" i="11"/>
  <c r="C91" i="11"/>
  <c r="C133" i="11"/>
  <c r="C31" i="11"/>
  <c r="C30" i="11"/>
  <c r="C46" i="11"/>
  <c r="C18" i="11"/>
  <c r="C53" i="11"/>
  <c r="C119" i="11"/>
  <c r="C28" i="11"/>
  <c r="C130" i="11"/>
  <c r="C102" i="11"/>
  <c r="C61" i="11"/>
  <c r="C14" i="11"/>
  <c r="C45" i="11"/>
  <c r="C64" i="11"/>
  <c r="C52" i="11"/>
  <c r="C115" i="11"/>
  <c r="C38" i="11"/>
  <c r="C83" i="11"/>
  <c r="C92" i="11"/>
  <c r="C4" i="11"/>
  <c r="C13" i="11"/>
  <c r="C47" i="11"/>
  <c r="C100" i="11"/>
  <c r="C44" i="11"/>
  <c r="C19" i="11"/>
  <c r="C87" i="11"/>
  <c r="C98" i="11"/>
  <c r="C121" i="11"/>
  <c r="C32" i="11"/>
  <c r="C6" i="11"/>
  <c r="C86" i="11"/>
  <c r="C109" i="11"/>
  <c r="C33" i="11"/>
  <c r="C51" i="11"/>
  <c r="C62" i="11"/>
  <c r="C85" i="11"/>
  <c r="C12" i="11"/>
  <c r="C24" i="11"/>
  <c r="C96" i="11"/>
  <c r="C9" i="11"/>
  <c r="C114" i="11"/>
  <c r="C5" i="11"/>
  <c r="C78" i="11"/>
  <c r="C136" i="11"/>
  <c r="C122" i="11"/>
  <c r="C17" i="11"/>
  <c r="C89" i="11"/>
  <c r="C10" i="11"/>
  <c r="C132" i="11"/>
  <c r="C120" i="11"/>
  <c r="C77" i="11"/>
  <c r="F23" i="9"/>
  <c r="G23" i="9" s="1"/>
  <c r="R14" i="9"/>
  <c r="E14" i="11" s="1"/>
  <c r="R26" i="9"/>
  <c r="E26" i="11" s="1"/>
  <c r="R38" i="9"/>
  <c r="E38" i="11" s="1"/>
  <c r="R50" i="9"/>
  <c r="E50" i="11" s="1"/>
  <c r="R62" i="9"/>
  <c r="E62" i="11" s="1"/>
  <c r="R74" i="9"/>
  <c r="E74" i="11" s="1"/>
  <c r="R86" i="9"/>
  <c r="E86" i="11" s="1"/>
  <c r="R98" i="9"/>
  <c r="E98" i="11" s="1"/>
  <c r="R110" i="9"/>
  <c r="E110" i="11" s="1"/>
  <c r="R122" i="9"/>
  <c r="E122" i="11" s="1"/>
  <c r="R134" i="9"/>
  <c r="E134" i="11" s="1"/>
  <c r="R15" i="9"/>
  <c r="E15" i="11" s="1"/>
  <c r="R27" i="9"/>
  <c r="E27" i="11" s="1"/>
  <c r="R39" i="9"/>
  <c r="E39" i="11" s="1"/>
  <c r="R51" i="9"/>
  <c r="E51" i="11" s="1"/>
  <c r="R63" i="9"/>
  <c r="E63" i="11" s="1"/>
  <c r="R75" i="9"/>
  <c r="E75" i="11" s="1"/>
  <c r="R87" i="9"/>
  <c r="E87" i="11" s="1"/>
  <c r="R99" i="9"/>
  <c r="E99" i="11" s="1"/>
  <c r="R111" i="9"/>
  <c r="E111" i="11" s="1"/>
  <c r="R123" i="9"/>
  <c r="E123" i="11" s="1"/>
  <c r="R135" i="9"/>
  <c r="E135" i="11" s="1"/>
  <c r="R114" i="9"/>
  <c r="E114" i="11" s="1"/>
  <c r="R16" i="9"/>
  <c r="E16" i="11" s="1"/>
  <c r="R28" i="9"/>
  <c r="E28" i="11" s="1"/>
  <c r="R40" i="9"/>
  <c r="E40" i="11" s="1"/>
  <c r="R52" i="9"/>
  <c r="E52" i="11" s="1"/>
  <c r="R64" i="9"/>
  <c r="E64" i="11" s="1"/>
  <c r="R76" i="9"/>
  <c r="E76" i="11" s="1"/>
  <c r="R88" i="9"/>
  <c r="E88" i="11" s="1"/>
  <c r="R100" i="9"/>
  <c r="E100" i="11" s="1"/>
  <c r="R112" i="9"/>
  <c r="E112" i="11" s="1"/>
  <c r="R124" i="9"/>
  <c r="E124" i="11" s="1"/>
  <c r="R136" i="9"/>
  <c r="E136" i="11" s="1"/>
  <c r="R5" i="9"/>
  <c r="E5" i="11" s="1"/>
  <c r="R17" i="9"/>
  <c r="E17" i="11" s="1"/>
  <c r="R29" i="9"/>
  <c r="E29" i="11" s="1"/>
  <c r="R41" i="9"/>
  <c r="E41" i="11" s="1"/>
  <c r="R53" i="9"/>
  <c r="E53" i="11" s="1"/>
  <c r="R65" i="9"/>
  <c r="E65" i="11" s="1"/>
  <c r="R77" i="9"/>
  <c r="E77" i="11" s="1"/>
  <c r="R89" i="9"/>
  <c r="E89" i="11" s="1"/>
  <c r="R101" i="9"/>
  <c r="E101" i="11" s="1"/>
  <c r="R113" i="9"/>
  <c r="E113" i="11" s="1"/>
  <c r="R125" i="9"/>
  <c r="E125" i="11" s="1"/>
  <c r="R4" i="9"/>
  <c r="E4" i="11" s="1"/>
  <c r="R126" i="9"/>
  <c r="E126" i="11" s="1"/>
  <c r="R6" i="9"/>
  <c r="E6" i="11" s="1"/>
  <c r="R18" i="9"/>
  <c r="E18" i="11" s="1"/>
  <c r="R30" i="9"/>
  <c r="E30" i="11" s="1"/>
  <c r="R42" i="9"/>
  <c r="E42" i="11" s="1"/>
  <c r="R54" i="9"/>
  <c r="E54" i="11" s="1"/>
  <c r="R66" i="9"/>
  <c r="E66" i="11" s="1"/>
  <c r="R78" i="9"/>
  <c r="E78" i="11" s="1"/>
  <c r="R90" i="9"/>
  <c r="E90" i="11" s="1"/>
  <c r="R102" i="9"/>
  <c r="E102" i="11" s="1"/>
  <c r="R7" i="9"/>
  <c r="E7" i="11" s="1"/>
  <c r="R19" i="9"/>
  <c r="E19" i="11" s="1"/>
  <c r="R31" i="9"/>
  <c r="E31" i="11" s="1"/>
  <c r="R43" i="9"/>
  <c r="E43" i="11" s="1"/>
  <c r="R55" i="9"/>
  <c r="E55" i="11" s="1"/>
  <c r="R67" i="9"/>
  <c r="E67" i="11" s="1"/>
  <c r="R79" i="9"/>
  <c r="E79" i="11" s="1"/>
  <c r="R91" i="9"/>
  <c r="E91" i="11" s="1"/>
  <c r="R103" i="9"/>
  <c r="E103" i="11" s="1"/>
  <c r="R115" i="9"/>
  <c r="E115" i="11" s="1"/>
  <c r="R127" i="9"/>
  <c r="E127" i="11" s="1"/>
  <c r="R8" i="9"/>
  <c r="E8" i="11" s="1"/>
  <c r="R20" i="9"/>
  <c r="E20" i="11" s="1"/>
  <c r="R32" i="9"/>
  <c r="E32" i="11" s="1"/>
  <c r="R44" i="9"/>
  <c r="E44" i="11" s="1"/>
  <c r="R56" i="9"/>
  <c r="E56" i="11" s="1"/>
  <c r="R68" i="9"/>
  <c r="E68" i="11" s="1"/>
  <c r="R80" i="9"/>
  <c r="E80" i="11" s="1"/>
  <c r="R92" i="9"/>
  <c r="E92" i="11" s="1"/>
  <c r="R104" i="9"/>
  <c r="E104" i="11" s="1"/>
  <c r="R116" i="9"/>
  <c r="E116" i="11" s="1"/>
  <c r="R128" i="9"/>
  <c r="E128" i="11" s="1"/>
  <c r="R9" i="9"/>
  <c r="E9" i="11" s="1"/>
  <c r="R21" i="9"/>
  <c r="E21" i="11" s="1"/>
  <c r="R33" i="9"/>
  <c r="E33" i="11" s="1"/>
  <c r="R45" i="9"/>
  <c r="E45" i="11" s="1"/>
  <c r="R57" i="9"/>
  <c r="E57" i="11" s="1"/>
  <c r="R69" i="9"/>
  <c r="E69" i="11" s="1"/>
  <c r="R81" i="9"/>
  <c r="E81" i="11" s="1"/>
  <c r="R93" i="9"/>
  <c r="E93" i="11" s="1"/>
  <c r="R105" i="9"/>
  <c r="E105" i="11" s="1"/>
  <c r="R117" i="9"/>
  <c r="E117" i="11" s="1"/>
  <c r="R129" i="9"/>
  <c r="E129" i="11" s="1"/>
  <c r="R133" i="9"/>
  <c r="E133" i="11" s="1"/>
  <c r="R10" i="9"/>
  <c r="E10" i="11" s="1"/>
  <c r="R22" i="9"/>
  <c r="E22" i="11" s="1"/>
  <c r="R34" i="9"/>
  <c r="E34" i="11" s="1"/>
  <c r="R46" i="9"/>
  <c r="E46" i="11" s="1"/>
  <c r="R58" i="9"/>
  <c r="E58" i="11" s="1"/>
  <c r="R70" i="9"/>
  <c r="E70" i="11" s="1"/>
  <c r="R82" i="9"/>
  <c r="E82" i="11" s="1"/>
  <c r="R94" i="9"/>
  <c r="E94" i="11" s="1"/>
  <c r="R106" i="9"/>
  <c r="E106" i="11" s="1"/>
  <c r="R118" i="9"/>
  <c r="E118" i="11" s="1"/>
  <c r="R130" i="9"/>
  <c r="E130" i="11" s="1"/>
  <c r="R37" i="9"/>
  <c r="E37" i="11" s="1"/>
  <c r="R97" i="9"/>
  <c r="E97" i="11" s="1"/>
  <c r="R11" i="9"/>
  <c r="E11" i="11" s="1"/>
  <c r="R23" i="9"/>
  <c r="E23" i="11" s="1"/>
  <c r="R35" i="9"/>
  <c r="E35" i="11" s="1"/>
  <c r="R47" i="9"/>
  <c r="E47" i="11" s="1"/>
  <c r="R59" i="9"/>
  <c r="E59" i="11" s="1"/>
  <c r="R71" i="9"/>
  <c r="E71" i="11" s="1"/>
  <c r="R83" i="9"/>
  <c r="E83" i="11" s="1"/>
  <c r="R95" i="9"/>
  <c r="E95" i="11" s="1"/>
  <c r="R107" i="9"/>
  <c r="E107" i="11" s="1"/>
  <c r="R119" i="9"/>
  <c r="E119" i="11" s="1"/>
  <c r="R131" i="9"/>
  <c r="E131" i="11" s="1"/>
  <c r="R13" i="9"/>
  <c r="E13" i="11" s="1"/>
  <c r="R49" i="9"/>
  <c r="E49" i="11" s="1"/>
  <c r="R85" i="9"/>
  <c r="E85" i="11" s="1"/>
  <c r="R121" i="9"/>
  <c r="E121" i="11" s="1"/>
  <c r="R12" i="9"/>
  <c r="E12" i="11" s="1"/>
  <c r="R24" i="9"/>
  <c r="E24" i="11" s="1"/>
  <c r="R36" i="9"/>
  <c r="E36" i="11" s="1"/>
  <c r="R48" i="9"/>
  <c r="E48" i="11" s="1"/>
  <c r="R60" i="9"/>
  <c r="E60" i="11" s="1"/>
  <c r="R72" i="9"/>
  <c r="E72" i="11" s="1"/>
  <c r="R84" i="9"/>
  <c r="E84" i="11" s="1"/>
  <c r="R96" i="9"/>
  <c r="E96" i="11" s="1"/>
  <c r="R108" i="9"/>
  <c r="E108" i="11" s="1"/>
  <c r="R120" i="9"/>
  <c r="E120" i="11" s="1"/>
  <c r="R132" i="9"/>
  <c r="E132" i="11" s="1"/>
  <c r="R25" i="9"/>
  <c r="E25" i="11" s="1"/>
  <c r="G25" i="11" s="1"/>
  <c r="R61" i="9"/>
  <c r="E61" i="11" s="1"/>
  <c r="R73" i="9"/>
  <c r="E73" i="11" s="1"/>
  <c r="R109" i="9"/>
  <c r="E109" i="11" s="1"/>
  <c r="V4" i="9"/>
  <c r="V138" i="9" s="1"/>
  <c r="U138" i="9"/>
  <c r="G6" i="9"/>
  <c r="G59" i="9" s="1"/>
  <c r="C138" i="11" l="1"/>
  <c r="S31" i="9"/>
  <c r="F31" i="11" s="1"/>
  <c r="G31" i="11" s="1"/>
  <c r="S58" i="9"/>
  <c r="F58" i="11" s="1"/>
  <c r="G58" i="11" s="1"/>
  <c r="S5" i="9"/>
  <c r="F5" i="11" s="1"/>
  <c r="G5" i="11" s="1"/>
  <c r="S35" i="9"/>
  <c r="F35" i="11" s="1"/>
  <c r="G35" i="11" s="1"/>
  <c r="S19" i="9"/>
  <c r="F19" i="11" s="1"/>
  <c r="G19" i="11" s="1"/>
  <c r="S135" i="9"/>
  <c r="F135" i="11" s="1"/>
  <c r="G135" i="11" s="1"/>
  <c r="S23" i="9"/>
  <c r="F23" i="11" s="1"/>
  <c r="G23" i="11" s="1"/>
  <c r="S125" i="9"/>
  <c r="F125" i="11" s="1"/>
  <c r="G125" i="11" s="1"/>
  <c r="S22" i="9"/>
  <c r="F22" i="11" s="1"/>
  <c r="G22" i="11" s="1"/>
  <c r="S112" i="9"/>
  <c r="F112" i="11" s="1"/>
  <c r="G112" i="11" s="1"/>
  <c r="S127" i="9"/>
  <c r="F127" i="11" s="1"/>
  <c r="G127" i="11" s="1"/>
  <c r="S86" i="9"/>
  <c r="F86" i="11" s="1"/>
  <c r="G86" i="11" s="1"/>
  <c r="S133" i="9"/>
  <c r="F133" i="11" s="1"/>
  <c r="G133" i="11" s="1"/>
  <c r="S87" i="9"/>
  <c r="F87" i="11" s="1"/>
  <c r="G87" i="11" s="1"/>
  <c r="S118" i="9"/>
  <c r="F118" i="11" s="1"/>
  <c r="G118" i="11" s="1"/>
  <c r="S57" i="9"/>
  <c r="F57" i="11" s="1"/>
  <c r="G57" i="11" s="1"/>
  <c r="S134" i="9"/>
  <c r="F134" i="11" s="1"/>
  <c r="G134" i="11" s="1"/>
  <c r="S121" i="9"/>
  <c r="F121" i="11" s="1"/>
  <c r="G121" i="11" s="1"/>
  <c r="S46" i="9"/>
  <c r="F46" i="11" s="1"/>
  <c r="G46" i="11" s="1"/>
  <c r="S4" i="9"/>
  <c r="F4" i="11" s="1"/>
  <c r="G4" i="11" s="1"/>
  <c r="S132" i="9"/>
  <c r="F132" i="11" s="1"/>
  <c r="G132" i="11" s="1"/>
  <c r="S20" i="9"/>
  <c r="F20" i="11" s="1"/>
  <c r="G20" i="11" s="1"/>
  <c r="S124" i="9"/>
  <c r="F124" i="11" s="1"/>
  <c r="G124" i="11" s="1"/>
  <c r="S8" i="9"/>
  <c r="F8" i="11" s="1"/>
  <c r="G8" i="11" s="1"/>
  <c r="S111" i="9"/>
  <c r="F111" i="11" s="1"/>
  <c r="G111" i="11" s="1"/>
  <c r="S9" i="9"/>
  <c r="F9" i="11" s="1"/>
  <c r="G9" i="11" s="1"/>
  <c r="S99" i="9"/>
  <c r="F99" i="11" s="1"/>
  <c r="G99" i="11" s="1"/>
  <c r="S37" i="9"/>
  <c r="F37" i="11" s="1"/>
  <c r="G37" i="11" s="1"/>
  <c r="S78" i="9"/>
  <c r="F78" i="11" s="1"/>
  <c r="G78" i="11" s="1"/>
  <c r="S89" i="9"/>
  <c r="F89" i="11" s="1"/>
  <c r="G89" i="11" s="1"/>
  <c r="S75" i="9"/>
  <c r="F75" i="11" s="1"/>
  <c r="G75" i="11" s="1"/>
  <c r="S12" i="9"/>
  <c r="F12" i="11" s="1"/>
  <c r="G12" i="11" s="1"/>
  <c r="S126" i="9"/>
  <c r="F126" i="11" s="1"/>
  <c r="G126" i="11" s="1"/>
  <c r="S45" i="9"/>
  <c r="F45" i="11" s="1"/>
  <c r="G45" i="11" s="1"/>
  <c r="S136" i="9"/>
  <c r="F136" i="11" s="1"/>
  <c r="G136" i="11" s="1"/>
  <c r="S33" i="9"/>
  <c r="F33" i="11" s="1"/>
  <c r="G33" i="11" s="1"/>
  <c r="S123" i="9"/>
  <c r="F123" i="11" s="1"/>
  <c r="G123" i="11" s="1"/>
  <c r="S11" i="9"/>
  <c r="F11" i="11" s="1"/>
  <c r="G11" i="11" s="1"/>
  <c r="S113" i="9"/>
  <c r="F113" i="11" s="1"/>
  <c r="G113" i="11" s="1"/>
  <c r="S13" i="9"/>
  <c r="F13" i="11" s="1"/>
  <c r="G13" i="11" s="1"/>
  <c r="S90" i="9"/>
  <c r="F90" i="11" s="1"/>
  <c r="G90" i="11" s="1"/>
  <c r="S100" i="9"/>
  <c r="F100" i="11" s="1"/>
  <c r="G100" i="11" s="1"/>
  <c r="S96" i="9"/>
  <c r="F96" i="11" s="1"/>
  <c r="G96" i="11" s="1"/>
  <c r="S115" i="9"/>
  <c r="F115" i="11" s="1"/>
  <c r="G115" i="11" s="1"/>
  <c r="S74" i="9"/>
  <c r="F74" i="11" s="1"/>
  <c r="G74" i="11" s="1"/>
  <c r="S84" i="9"/>
  <c r="F84" i="11" s="1"/>
  <c r="G84" i="11" s="1"/>
  <c r="S103" i="9"/>
  <c r="F103" i="11" s="1"/>
  <c r="G103" i="11" s="1"/>
  <c r="S117" i="9"/>
  <c r="F117" i="11" s="1"/>
  <c r="G117" i="11" s="1"/>
  <c r="S61" i="9"/>
  <c r="F61" i="11" s="1"/>
  <c r="G61" i="11" s="1"/>
  <c r="S47" i="9"/>
  <c r="F47" i="11" s="1"/>
  <c r="G47" i="11" s="1"/>
  <c r="S44" i="9"/>
  <c r="F44" i="11" s="1"/>
  <c r="G44" i="11" s="1"/>
  <c r="S114" i="9"/>
  <c r="F114" i="11" s="1"/>
  <c r="G114" i="11" s="1"/>
  <c r="S25" i="9"/>
  <c r="S32" i="9"/>
  <c r="F32" i="11" s="1"/>
  <c r="G32" i="11" s="1"/>
  <c r="S122" i="9"/>
  <c r="F122" i="11" s="1"/>
  <c r="G122" i="11" s="1"/>
  <c r="S85" i="9"/>
  <c r="F85" i="11" s="1"/>
  <c r="G85" i="11" s="1"/>
  <c r="S34" i="9"/>
  <c r="F34" i="11" s="1"/>
  <c r="G34" i="11" s="1"/>
  <c r="S7" i="9"/>
  <c r="F7" i="11" s="1"/>
  <c r="G7" i="11" s="1"/>
  <c r="S110" i="9"/>
  <c r="F110" i="11" s="1"/>
  <c r="G110" i="11" s="1"/>
  <c r="S120" i="9"/>
  <c r="F120" i="11" s="1"/>
  <c r="G120" i="11" s="1"/>
  <c r="S49" i="9"/>
  <c r="F49" i="11" s="1"/>
  <c r="G49" i="11" s="1"/>
  <c r="S21" i="9"/>
  <c r="F21" i="11" s="1"/>
  <c r="G21" i="11" s="1"/>
  <c r="S102" i="9"/>
  <c r="F102" i="11" s="1"/>
  <c r="G102" i="11" s="1"/>
  <c r="S98" i="9"/>
  <c r="F98" i="11" s="1"/>
  <c r="G98" i="11" s="1"/>
  <c r="S108" i="9"/>
  <c r="F108" i="11" s="1"/>
  <c r="G108" i="11" s="1"/>
  <c r="S97" i="9"/>
  <c r="F97" i="11" s="1"/>
  <c r="G97" i="11" s="1"/>
  <c r="S10" i="9"/>
  <c r="F10" i="11" s="1"/>
  <c r="G10" i="11" s="1"/>
  <c r="S101" i="9"/>
  <c r="F101" i="11" s="1"/>
  <c r="G101" i="11" s="1"/>
  <c r="S131" i="9"/>
  <c r="F131" i="11" s="1"/>
  <c r="G131" i="11" s="1"/>
  <c r="S128" i="9"/>
  <c r="F128" i="11" s="1"/>
  <c r="G128" i="11" s="1"/>
  <c r="S88" i="9"/>
  <c r="F88" i="11" s="1"/>
  <c r="G88" i="11" s="1"/>
  <c r="S119" i="9"/>
  <c r="F119" i="11" s="1"/>
  <c r="G119" i="11" s="1"/>
  <c r="S130" i="9"/>
  <c r="F130" i="11" s="1"/>
  <c r="G130" i="11" s="1"/>
  <c r="S129" i="9"/>
  <c r="F129" i="11" s="1"/>
  <c r="G129" i="11" s="1"/>
  <c r="S116" i="9"/>
  <c r="F116" i="11" s="1"/>
  <c r="G116" i="11" s="1"/>
  <c r="S66" i="9"/>
  <c r="F66" i="11" s="1"/>
  <c r="G66" i="11" s="1"/>
  <c r="S77" i="9"/>
  <c r="F77" i="11" s="1"/>
  <c r="G77" i="11" s="1"/>
  <c r="S76" i="9"/>
  <c r="F76" i="11" s="1"/>
  <c r="G76" i="11" s="1"/>
  <c r="S62" i="9"/>
  <c r="F62" i="11" s="1"/>
  <c r="G62" i="11" s="1"/>
  <c r="S72" i="9"/>
  <c r="F72" i="11" s="1"/>
  <c r="G72" i="11" s="1"/>
  <c r="S107" i="9"/>
  <c r="F107" i="11" s="1"/>
  <c r="G107" i="11" s="1"/>
  <c r="S104" i="9"/>
  <c r="F104" i="11" s="1"/>
  <c r="G104" i="11" s="1"/>
  <c r="S91" i="9"/>
  <c r="F91" i="11" s="1"/>
  <c r="G91" i="11" s="1"/>
  <c r="S54" i="9"/>
  <c r="F54" i="11" s="1"/>
  <c r="G54" i="11" s="1"/>
  <c r="S65" i="9"/>
  <c r="F65" i="11" s="1"/>
  <c r="G65" i="11" s="1"/>
  <c r="S64" i="9"/>
  <c r="F64" i="11" s="1"/>
  <c r="G64" i="11" s="1"/>
  <c r="S63" i="9"/>
  <c r="F63" i="11" s="1"/>
  <c r="G63" i="11" s="1"/>
  <c r="S50" i="9"/>
  <c r="F50" i="11" s="1"/>
  <c r="G50" i="11" s="1"/>
  <c r="S60" i="9"/>
  <c r="F60" i="11" s="1"/>
  <c r="G60" i="11" s="1"/>
  <c r="S95" i="9"/>
  <c r="F95" i="11" s="1"/>
  <c r="G95" i="11" s="1"/>
  <c r="S106" i="9"/>
  <c r="F106" i="11" s="1"/>
  <c r="G106" i="11" s="1"/>
  <c r="S105" i="9"/>
  <c r="F105" i="11" s="1"/>
  <c r="G105" i="11" s="1"/>
  <c r="S92" i="9"/>
  <c r="F92" i="11" s="1"/>
  <c r="G92" i="11" s="1"/>
  <c r="S79" i="9"/>
  <c r="F79" i="11" s="1"/>
  <c r="G79" i="11" s="1"/>
  <c r="S42" i="9"/>
  <c r="F42" i="11" s="1"/>
  <c r="G42" i="11" s="1"/>
  <c r="S53" i="9"/>
  <c r="F53" i="11" s="1"/>
  <c r="G53" i="11" s="1"/>
  <c r="S52" i="9"/>
  <c r="F52" i="11" s="1"/>
  <c r="G52" i="11" s="1"/>
  <c r="S51" i="9"/>
  <c r="F51" i="11" s="1"/>
  <c r="G51" i="11" s="1"/>
  <c r="S38" i="9"/>
  <c r="F38" i="11" s="1"/>
  <c r="G38" i="11" s="1"/>
  <c r="S48" i="9"/>
  <c r="F48" i="11" s="1"/>
  <c r="G48" i="11" s="1"/>
  <c r="S83" i="9"/>
  <c r="F83" i="11" s="1"/>
  <c r="G83" i="11" s="1"/>
  <c r="S94" i="9"/>
  <c r="F94" i="11" s="1"/>
  <c r="G94" i="11" s="1"/>
  <c r="S93" i="9"/>
  <c r="F93" i="11" s="1"/>
  <c r="G93" i="11" s="1"/>
  <c r="S80" i="9"/>
  <c r="F80" i="11" s="1"/>
  <c r="G80" i="11" s="1"/>
  <c r="S67" i="9"/>
  <c r="F67" i="11" s="1"/>
  <c r="G67" i="11" s="1"/>
  <c r="S30" i="9"/>
  <c r="F30" i="11" s="1"/>
  <c r="G30" i="11" s="1"/>
  <c r="S41" i="9"/>
  <c r="F41" i="11" s="1"/>
  <c r="G41" i="11" s="1"/>
  <c r="S40" i="9"/>
  <c r="F40" i="11" s="1"/>
  <c r="G40" i="11" s="1"/>
  <c r="S39" i="9"/>
  <c r="F39" i="11" s="1"/>
  <c r="G39" i="11" s="1"/>
  <c r="S26" i="9"/>
  <c r="F26" i="11" s="1"/>
  <c r="G26" i="11" s="1"/>
  <c r="S109" i="9"/>
  <c r="F109" i="11" s="1"/>
  <c r="G109" i="11" s="1"/>
  <c r="S36" i="9"/>
  <c r="F36" i="11" s="1"/>
  <c r="G36" i="11" s="1"/>
  <c r="S71" i="9"/>
  <c r="F71" i="11" s="1"/>
  <c r="G71" i="11" s="1"/>
  <c r="S82" i="9"/>
  <c r="F82" i="11" s="1"/>
  <c r="G82" i="11" s="1"/>
  <c r="S81" i="9"/>
  <c r="F81" i="11" s="1"/>
  <c r="G81" i="11" s="1"/>
  <c r="S68" i="9"/>
  <c r="F68" i="11" s="1"/>
  <c r="G68" i="11" s="1"/>
  <c r="S55" i="9"/>
  <c r="F55" i="11" s="1"/>
  <c r="G55" i="11" s="1"/>
  <c r="S18" i="9"/>
  <c r="F18" i="11" s="1"/>
  <c r="G18" i="11" s="1"/>
  <c r="S29" i="9"/>
  <c r="F29" i="11" s="1"/>
  <c r="G29" i="11" s="1"/>
  <c r="S28" i="9"/>
  <c r="F28" i="11" s="1"/>
  <c r="G28" i="11" s="1"/>
  <c r="S27" i="9"/>
  <c r="F27" i="11" s="1"/>
  <c r="G27" i="11" s="1"/>
  <c r="S14" i="9"/>
  <c r="F14" i="11" s="1"/>
  <c r="G14" i="11" s="1"/>
  <c r="S73" i="9"/>
  <c r="F73" i="11" s="1"/>
  <c r="G73" i="11" s="1"/>
  <c r="S24" i="9"/>
  <c r="F24" i="11" s="1"/>
  <c r="G24" i="11" s="1"/>
  <c r="S59" i="9"/>
  <c r="F59" i="11" s="1"/>
  <c r="G59" i="11" s="1"/>
  <c r="S70" i="9"/>
  <c r="F70" i="11" s="1"/>
  <c r="G70" i="11" s="1"/>
  <c r="S69" i="9"/>
  <c r="F69" i="11" s="1"/>
  <c r="G69" i="11" s="1"/>
  <c r="S56" i="9"/>
  <c r="F56" i="11" s="1"/>
  <c r="G56" i="11" s="1"/>
  <c r="S43" i="9"/>
  <c r="F43" i="11" s="1"/>
  <c r="G43" i="11" s="1"/>
  <c r="S6" i="9"/>
  <c r="F6" i="11" s="1"/>
  <c r="G6" i="11" s="1"/>
  <c r="S17" i="9"/>
  <c r="F17" i="11" s="1"/>
  <c r="G17" i="11" s="1"/>
  <c r="S16" i="9"/>
  <c r="F16" i="11" s="1"/>
  <c r="G16" i="11" s="1"/>
  <c r="S15" i="9"/>
  <c r="F15" i="11" s="1"/>
  <c r="G15" i="11" s="1"/>
  <c r="G138" i="11" l="1"/>
  <c r="F138" i="11"/>
  <c r="E138" i="11"/>
  <c r="D10" i="11" l="1"/>
  <c r="D11" i="11"/>
  <c r="D59" i="11"/>
  <c r="D62" i="11"/>
  <c r="D75" i="11"/>
  <c r="D110" i="11"/>
  <c r="D121" i="11"/>
  <c r="D29" i="11"/>
  <c r="D89" i="11"/>
  <c r="D123" i="11"/>
  <c r="D21" i="11"/>
  <c r="D34" i="11"/>
  <c r="D77" i="11"/>
  <c r="D113" i="11"/>
  <c r="D85" i="11"/>
  <c r="D118" i="11"/>
  <c r="D129" i="11"/>
  <c r="D134" i="11"/>
  <c r="D60" i="11"/>
  <c r="D28" i="11"/>
  <c r="D130" i="11"/>
  <c r="D81" i="11"/>
  <c r="D18" i="11"/>
  <c r="D127" i="11"/>
  <c r="D4" i="11"/>
  <c r="D51" i="11"/>
  <c r="D101" i="11"/>
  <c r="D5" i="11"/>
  <c r="D42" i="11"/>
  <c r="D104" i="11"/>
  <c r="D55" i="11"/>
  <c r="D13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tc={9B8C10C4-D3C7-4E4E-A151-1A80EEC89441}</author>
    <author>tc={2C3B8647-10C8-49B8-870B-B57032617E5C}</author>
  </authors>
  <commentList>
    <comment ref="H18" authorId="0" shapeId="0" xr:uid="{9B8C10C4-D3C7-4E4E-A151-1A80EEC89441}">
      <text>
        <t xml:space="preserve">[Threaded comment]
Your version of Excel allows you to read this threaded comment; however, any edits to it will get removed if the file is opened in a newer version of Excel. Learn more: https://go.microsoft.com/fwlink/?linkid=870924
Comment:
    This number reflects the balance of funds available for Individual Distributions from FY23 through FY25 combined. This is the maximum that can be awarded in Individual Distributions in FY25. FY23 and FY24 amounts can also be awarded in FY25 along with FY25 amounts.
</t>
      </text>
    </comment>
    <comment ref="K18" authorId="1" shapeId="0" xr:uid="{2C3B8647-10C8-49B8-870B-B57032617E5C}">
      <text>
        <t xml:space="preserve">[Threaded comment]
Your version of Excel allows you to read this threaded comment; however, any edits to it will get removed if the file is opened in a newer version of Excel. Learn more: https://go.microsoft.com/fwlink/?linkid=870924
Comment:
    This number reflects the balance of funds available for Gold Standard Incentive from FY23 through FY25 combined. This is the maximum that can be awarded in Gold Standard Incentive in FY25. FY23 and FY24 amounts can also be awarded in FY25 along with FY25 amounts.
</t>
      </text>
    </comment>
  </commentList>
</comments>
</file>

<file path=xl/sharedStrings.xml><?xml version="1.0" encoding="utf-8"?>
<sst xmlns="http://schemas.openxmlformats.org/spreadsheetml/2006/main" count="2872" uniqueCount="392">
  <si>
    <t xml:space="preserve">   </t>
  </si>
  <si>
    <t xml:space="preserve">     VIRGINIA OPIOID ABATEMENT AUTHORITY</t>
  </si>
  <si>
    <t xml:space="preserve">  </t>
  </si>
  <si>
    <t xml:space="preserve">     CITY/COUNTY ESTIMATED SETTLEMENT FUNDS </t>
  </si>
  <si>
    <t xml:space="preserve">     LOOK-UP TOOL FY2022-FY2039</t>
  </si>
  <si>
    <r>
      <t xml:space="preserve">                         701 East Franklin Street, Suite 803, Richmond, Virginia 23219 </t>
    </r>
    <r>
      <rPr>
        <sz val="16"/>
        <color theme="1"/>
        <rFont val="Calibri"/>
        <family val="2"/>
        <scheme val="minor"/>
      </rPr>
      <t xml:space="preserve">|  </t>
    </r>
    <r>
      <rPr>
        <sz val="11"/>
        <color theme="1"/>
        <rFont val="Calibri"/>
        <family val="2"/>
        <scheme val="minor"/>
      </rPr>
      <t xml:space="preserve"> 804-500-1810   </t>
    </r>
    <r>
      <rPr>
        <sz val="16"/>
        <color theme="1"/>
        <rFont val="Calibri"/>
        <family val="2"/>
        <scheme val="minor"/>
      </rPr>
      <t xml:space="preserve">|  </t>
    </r>
    <r>
      <rPr>
        <sz val="11"/>
        <color theme="1"/>
        <rFont val="Calibri"/>
        <family val="2"/>
        <scheme val="minor"/>
      </rPr>
      <t xml:space="preserve">info@voaa.us   </t>
    </r>
    <r>
      <rPr>
        <sz val="16"/>
        <color theme="1"/>
        <rFont val="Calibri"/>
        <family val="2"/>
        <scheme val="minor"/>
      </rPr>
      <t xml:space="preserve">|  </t>
    </r>
    <r>
      <rPr>
        <sz val="11"/>
        <color theme="1"/>
        <rFont val="Calibri"/>
        <family val="2"/>
        <scheme val="minor"/>
      </rPr>
      <t>www.voaa.us</t>
    </r>
  </si>
  <si>
    <t>Direct Distribution, OAA Individual Distribution, and OAA Gold Standard</t>
  </si>
  <si>
    <r>
      <t xml:space="preserve">Please note this tool tracks finalized settlements. As new settlements are achieved, this tool will be updated. </t>
    </r>
    <r>
      <rPr>
        <b/>
        <i/>
        <sz val="12"/>
        <color theme="1"/>
        <rFont val="Arial"/>
        <family val="2"/>
      </rPr>
      <t xml:space="preserve">The amounts listed reflect </t>
    </r>
    <r>
      <rPr>
        <b/>
        <i/>
        <u/>
        <sz val="12"/>
        <color theme="1"/>
        <rFont val="Arial"/>
        <family val="2"/>
      </rPr>
      <t>estimates</t>
    </r>
    <r>
      <rPr>
        <b/>
        <i/>
        <sz val="12"/>
        <color theme="1"/>
        <rFont val="Arial"/>
        <family val="2"/>
      </rPr>
      <t xml:space="preserve">, which may be subject to change prior to distribution. </t>
    </r>
  </si>
  <si>
    <t>City/County Estimated Settlement Funds Lookup Tool Instructions</t>
  </si>
  <si>
    <t>To see the estimated amounts disbursed or to be disbursed to a specific city or county for each year of the settlements: 
1. Click on cell C10, which currently reads "Choose City/County."
2. Use the drop down menu to select a city or county and the amounts 
    below will change to show the city or county's estimated payments.</t>
  </si>
  <si>
    <t xml:space="preserve">City or County: </t>
  </si>
  <si>
    <t>Arlington County</t>
  </si>
  <si>
    <t>Tazewell County</t>
  </si>
  <si>
    <t>No Application to OAA</t>
  </si>
  <si>
    <t>Must Apply to OAA</t>
  </si>
  <si>
    <t>Direct Distributions</t>
  </si>
  <si>
    <t>OAA Individual Distribution</t>
  </si>
  <si>
    <t>OAA Gold Standard Incentive</t>
  </si>
  <si>
    <t>Fiscal Year (FY)</t>
  </si>
  <si>
    <t>Projected</t>
  </si>
  <si>
    <t>Actual</t>
  </si>
  <si>
    <t>Used as OAA Match</t>
  </si>
  <si>
    <t>Eligible to Receive</t>
  </si>
  <si>
    <t>Awarded / Used as Match</t>
  </si>
  <si>
    <t>Balance Available</t>
  </si>
  <si>
    <t xml:space="preserve"> Eligible to Receive</t>
  </si>
  <si>
    <t>Total</t>
  </si>
  <si>
    <r>
      <t xml:space="preserve">Note: The Virginia Office of the Attorney General and the Virginia Opioid Abatement Authority are the data source. The amounts listed reflect </t>
    </r>
    <r>
      <rPr>
        <b/>
        <i/>
        <u/>
        <sz val="12"/>
        <color theme="1"/>
        <rFont val="Calibri"/>
        <family val="2"/>
        <scheme val="minor"/>
      </rPr>
      <t>estimates</t>
    </r>
    <r>
      <rPr>
        <b/>
        <i/>
        <sz val="12"/>
        <color theme="1"/>
        <rFont val="Calibri"/>
        <family val="2"/>
        <scheme val="minor"/>
      </rPr>
      <t xml:space="preserve"> of local distributions based on finalized settlements and may vary due to adjustments occurring at the national level prior to distribution to the states. </t>
    </r>
  </si>
  <si>
    <t xml:space="preserve">                       VIRGINIA OPIOID ABATEMENT AUTHORITY</t>
  </si>
  <si>
    <t xml:space="preserve">                       CITY/COUNTY ESTIMATED SETTLEMENT FUNDS </t>
  </si>
  <si>
    <t xml:space="preserve">                       LOOK-UP TOOL FY2022-FY2039</t>
  </si>
  <si>
    <t xml:space="preserve"> </t>
  </si>
  <si>
    <r>
      <t xml:space="preserve">   701 East Franklin Street, Suite 803, Richmond, Virginia 23219 </t>
    </r>
    <r>
      <rPr>
        <sz val="16"/>
        <color theme="1"/>
        <rFont val="Calibri"/>
        <family val="2"/>
        <scheme val="minor"/>
      </rPr>
      <t>|</t>
    </r>
    <r>
      <rPr>
        <sz val="11"/>
        <color theme="1"/>
        <rFont val="Calibri"/>
        <family val="2"/>
        <scheme val="minor"/>
      </rPr>
      <t xml:space="preserve"> 804-500-1810 </t>
    </r>
    <r>
      <rPr>
        <sz val="16"/>
        <color theme="1"/>
        <rFont val="Calibri"/>
        <family val="2"/>
        <scheme val="minor"/>
      </rPr>
      <t xml:space="preserve">| </t>
    </r>
    <r>
      <rPr>
        <sz val="11"/>
        <color theme="1"/>
        <rFont val="Calibri"/>
        <family val="2"/>
        <scheme val="minor"/>
      </rPr>
      <t xml:space="preserve">info@voaa.us </t>
    </r>
    <r>
      <rPr>
        <sz val="16"/>
        <color theme="1"/>
        <rFont val="Calibri"/>
        <family val="2"/>
        <scheme val="minor"/>
      </rPr>
      <t>|</t>
    </r>
    <r>
      <rPr>
        <sz val="11"/>
        <color theme="1"/>
        <rFont val="Calibri"/>
        <family val="2"/>
        <scheme val="minor"/>
      </rPr>
      <t>www.voaa.us</t>
    </r>
  </si>
  <si>
    <t>Direct Distribution Details</t>
  </si>
  <si>
    <r>
      <t xml:space="preserve">Please note this tool tracks finalized settlements. As new settlements are achieved, this tool will be updated. </t>
    </r>
    <r>
      <rPr>
        <b/>
        <i/>
        <sz val="13"/>
        <color theme="1"/>
        <rFont val="Arial"/>
        <family val="2"/>
      </rPr>
      <t xml:space="preserve">The amounts listed reflect </t>
    </r>
    <r>
      <rPr>
        <b/>
        <i/>
        <u/>
        <sz val="13"/>
        <color theme="1"/>
        <rFont val="Arial"/>
        <family val="2"/>
      </rPr>
      <t>estimates</t>
    </r>
    <r>
      <rPr>
        <b/>
        <i/>
        <sz val="13"/>
        <color theme="1"/>
        <rFont val="Arial"/>
        <family val="2"/>
      </rPr>
      <t xml:space="preserve">, which may be subject to change prior to distribution. </t>
    </r>
  </si>
  <si>
    <t>City/County Estimated Settlement Funds Look Up Tool Instructions</t>
  </si>
  <si>
    <t>Fairfax County</t>
  </si>
  <si>
    <t>To see the estimated amounts disbursed or to be disbursed to a specific city or county for each year of the settlements: 
1. Click on cell C10, which currently reads "Choose City/County."
2. Use the drop down menu to select a city or county and the amounts below will change to show the city or county's estimated payments.</t>
  </si>
  <si>
    <t>MOU Allocation %:</t>
  </si>
  <si>
    <t>Estimated Direct Distributions from Settlement Administrator</t>
  </si>
  <si>
    <t>Distributors</t>
  </si>
  <si>
    <t>Janssen</t>
  </si>
  <si>
    <r>
      <t>Mallinkrodt</t>
    </r>
    <r>
      <rPr>
        <vertAlign val="superscript"/>
        <sz val="14"/>
        <color theme="1"/>
        <rFont val="Calibri"/>
        <family val="2"/>
        <scheme val="minor"/>
      </rPr>
      <t>1</t>
    </r>
  </si>
  <si>
    <t>Amt Locality Eligible to Receive</t>
  </si>
  <si>
    <t>Teva</t>
  </si>
  <si>
    <t>Allergan</t>
  </si>
  <si>
    <r>
      <t>Walmart</t>
    </r>
    <r>
      <rPr>
        <vertAlign val="superscript"/>
        <sz val="14"/>
        <color theme="1"/>
        <rFont val="Calibri"/>
        <family val="2"/>
        <scheme val="minor"/>
      </rPr>
      <t>1</t>
    </r>
  </si>
  <si>
    <t>CVS</t>
  </si>
  <si>
    <t>Walgreens</t>
  </si>
  <si>
    <t>Fiscal Year</t>
  </si>
  <si>
    <t>Mallinckrodt</t>
  </si>
  <si>
    <t>Walmart</t>
  </si>
  <si>
    <t>From OAA</t>
  </si>
  <si>
    <t>Accomack County</t>
  </si>
  <si>
    <t>Albemarle County</t>
  </si>
  <si>
    <t>FY 2022</t>
  </si>
  <si>
    <t>Alexandria City</t>
  </si>
  <si>
    <t>FY 2023</t>
  </si>
  <si>
    <t>Alleghany County</t>
  </si>
  <si>
    <t>FY 2024</t>
  </si>
  <si>
    <t>Amelia County</t>
  </si>
  <si>
    <t>FY 2025</t>
  </si>
  <si>
    <t>Amherst County</t>
  </si>
  <si>
    <t>FY 2026</t>
  </si>
  <si>
    <t>Appomattox County</t>
  </si>
  <si>
    <t>FY 2027</t>
  </si>
  <si>
    <t>FY 2028</t>
  </si>
  <si>
    <t>Augusta County</t>
  </si>
  <si>
    <t>FY 2029</t>
  </si>
  <si>
    <t>Bath County</t>
  </si>
  <si>
    <t>FY 2030</t>
  </si>
  <si>
    <t>Bedford County</t>
  </si>
  <si>
    <t>FY 2031</t>
  </si>
  <si>
    <t>Bland County</t>
  </si>
  <si>
    <t>FY 2032</t>
  </si>
  <si>
    <t>Botetourt County</t>
  </si>
  <si>
    <t>FY 2033</t>
  </si>
  <si>
    <t>Bristol City</t>
  </si>
  <si>
    <t>FY 2034</t>
  </si>
  <si>
    <t>Brunswick County</t>
  </si>
  <si>
    <t>FY 2035</t>
  </si>
  <si>
    <t>Buchanan County</t>
  </si>
  <si>
    <t>FY 2036</t>
  </si>
  <si>
    <t>Buckingham County</t>
  </si>
  <si>
    <t>FY 2037</t>
  </si>
  <si>
    <t>Buena Vista City</t>
  </si>
  <si>
    <t>FY 2038</t>
  </si>
  <si>
    <t>Campbell County</t>
  </si>
  <si>
    <t>FY 2039</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</si>
  <si>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</si>
  <si>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</si>
  <si>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</si>
  <si>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</si>
  <si>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</si>
  <si>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</si>
  <si>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</si>
  <si>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</si>
  <si>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</si>
  <si>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</si>
  <si>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</si>
  <si>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</si>
  <si>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</si>
  <si>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</si>
  <si>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</si>
  <si>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</si>
  <si>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</si>
  <si>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</si>
  <si>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City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</si>
  <si>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</si>
  <si>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</si>
  <si>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</si>
  <si>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</si>
  <si>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</si>
  <si>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</si>
  <si>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</si>
  <si>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</si>
  <si>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</si>
  <si>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</si>
  <si>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</si>
  <si>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</si>
  <si>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</si>
  <si>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</si>
  <si>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</si>
  <si>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</si>
  <si>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</si>
  <si>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</si>
  <si>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</si>
  <si>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</si>
  <si>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</si>
  <si>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</si>
  <si>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</si>
  <si>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</si>
  <si>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</si>
  <si>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</si>
  <si>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</si>
  <si>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</si>
  <si>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</si>
  <si>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</si>
  <si>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</si>
  <si>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</si>
  <si>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</si>
  <si>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Lunenbeurg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</si>
  <si>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</si>
  <si>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</si>
  <si>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</si>
  <si>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</si>
  <si>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</si>
  <si>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</si>
  <si>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</si>
  <si>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</si>
  <si>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</si>
  <si>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</si>
  <si>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</si>
  <si>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</si>
  <si>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</si>
  <si>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</si>
  <si>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</si>
  <si>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</si>
  <si>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</si>
  <si>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</si>
  <si>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</si>
  <si>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</si>
  <si>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</si>
  <si>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</si>
  <si>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</si>
  <si>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</si>
  <si>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</si>
  <si>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</si>
  <si>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</si>
  <si>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</si>
  <si>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</si>
  <si>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</si>
  <si>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</si>
  <si>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County</t>
  </si>
  <si>
    <t>Richmond City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</si>
  <si>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</si>
  <si>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</si>
  <si>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</si>
  <si>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</si>
  <si>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</si>
  <si>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</si>
  <si>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</si>
  <si>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</si>
  <si>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</si>
  <si>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</si>
  <si>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</si>
  <si>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</si>
  <si>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</si>
  <si>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</si>
  <si>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</si>
  <si>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</si>
  <si>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Virginia Beach City</t>
  </si>
  <si>
    <t>Warren County</t>
  </si>
  <si>
    <t>Washington County</t>
  </si>
  <si>
    <t>Waynesboro City</t>
  </si>
  <si>
    <t>Westmoreland County</t>
  </si>
  <si>
    <t>Williamsburg City</t>
  </si>
  <si>
    <t>Winchester City</t>
  </si>
  <si>
    <t>Wise County</t>
  </si>
  <si>
    <t>Wythe County</t>
  </si>
  <si>
    <t>York County</t>
  </si>
  <si>
    <t>Locality</t>
  </si>
  <si>
    <t>Region</t>
  </si>
  <si>
    <t>Mallinckrodt first year amount hard-keyed in</t>
  </si>
  <si>
    <t>Total Settlement Funds Paid to VA Localities by Year</t>
  </si>
  <si>
    <t xml:space="preserve">Locality's Allocation Percentage </t>
  </si>
  <si>
    <t>Choose City/County</t>
  </si>
  <si>
    <t xml:space="preserve"> FY22 Direct Shares</t>
  </si>
  <si>
    <t>FY22 from OAA</t>
  </si>
  <si>
    <t xml:space="preserve">FY22 Gold Standard </t>
  </si>
  <si>
    <t xml:space="preserve"> FY23 Direct Shares</t>
  </si>
  <si>
    <t>FY23 from OAA</t>
  </si>
  <si>
    <t xml:space="preserve">FY23 Gold Standard </t>
  </si>
  <si>
    <t xml:space="preserve"> FY24 Direct Shares</t>
  </si>
  <si>
    <t>FY24 from OAA</t>
  </si>
  <si>
    <t xml:space="preserve">FY24 Gold Standard </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</si>
  <si>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</si>
  <si>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</si>
  <si>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</si>
  <si>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</si>
  <si>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</si>
  <si>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</si>
  <si>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</si>
  <si>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</si>
  <si>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</si>
  <si>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</si>
  <si>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</si>
  <si>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</si>
  <si>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</si>
  <si>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</si>
  <si>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</si>
  <si>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</si>
  <si>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</si>
  <si>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r>
      <t>The yearly totals in the "</t>
    </r>
    <r>
      <rPr>
        <b/>
        <sz val="10.5"/>
        <color theme="1"/>
        <rFont val="Times New Roman"/>
        <family val="1"/>
      </rPr>
      <t>Distributors</t>
    </r>
    <r>
      <rPr>
        <sz val="10.5"/>
        <color theme="1"/>
        <rFont val="Times New Roman"/>
        <family val="1"/>
      </rPr>
      <t>" and "</t>
    </r>
    <r>
      <rPr>
        <b/>
        <sz val="10.5"/>
        <color theme="1"/>
        <rFont val="Times New Roman"/>
        <family val="1"/>
      </rPr>
      <t>Janssen</t>
    </r>
    <r>
      <rPr>
        <sz val="10.5"/>
        <color theme="1"/>
        <rFont val="Times New Roman"/>
        <family val="1"/>
      </rPr>
      <t>" columns are calculated by taking 22.5% of the Base Payments and Incentive Payments disbursed from the settlements in the specified year.  
The yearly totals in the "</t>
    </r>
    <r>
      <rPr>
        <b/>
        <sz val="10.5"/>
        <color theme="1"/>
        <rFont val="Times New Roman"/>
        <family val="1"/>
      </rPr>
      <t>From OAA</t>
    </r>
    <r>
      <rPr>
        <sz val="10.5"/>
        <color theme="1"/>
        <rFont val="Times New Roman"/>
        <family val="1"/>
      </rPr>
      <t xml:space="preserve">" column are caluclated by taking 8.25% of the Base Payments and Incentive Payments disbursed from both settlements in the specified year. 
</t>
    </r>
  </si>
  <si>
    <t>Carroll</t>
  </si>
  <si>
    <t>Charles City</t>
  </si>
  <si>
    <t>Charlotte</t>
  </si>
  <si>
    <t>Chesterfield</t>
  </si>
  <si>
    <t>Mallinckrodt total to VA estimate</t>
  </si>
  <si>
    <t>Clarke</t>
  </si>
  <si>
    <r>
      <rPr>
        <b/>
        <sz val="12"/>
        <color theme="1"/>
        <rFont val="Times New Roman"/>
        <family val="1"/>
      </rPr>
      <t>Payment Totals by Year</t>
    </r>
    <r>
      <rPr>
        <sz val="11"/>
        <color theme="1"/>
        <rFont val="Calibri"/>
        <family val="2"/>
        <scheme val="minor"/>
      </rPr>
      <t xml:space="preserve">
(Base Payment, Incentive Payment A &amp; Incentive Payment D, if applicable) </t>
    </r>
  </si>
  <si>
    <t>Total Payment</t>
  </si>
  <si>
    <t>Craig</t>
  </si>
  <si>
    <t>Mallinckrodt first year estimate</t>
  </si>
  <si>
    <t>Culpeper</t>
  </si>
  <si>
    <t>Cumberland</t>
  </si>
  <si>
    <t>Dickenson</t>
  </si>
  <si>
    <t>Dinwiddie</t>
  </si>
  <si>
    <t>Essex</t>
  </si>
  <si>
    <t>Fairfax</t>
  </si>
  <si>
    <t>Fauquier</t>
  </si>
  <si>
    <t>Floyd</t>
  </si>
  <si>
    <t>Fluvanna</t>
  </si>
  <si>
    <t>Franklin</t>
  </si>
  <si>
    <t>Frederick</t>
  </si>
  <si>
    <t>Giles</t>
  </si>
  <si>
    <t>Gloucester</t>
  </si>
  <si>
    <t>Goochland</t>
  </si>
  <si>
    <t>Grayson</t>
  </si>
  <si>
    <t>Greene</t>
  </si>
  <si>
    <t>Greensville</t>
  </si>
  <si>
    <t>Halifax</t>
  </si>
  <si>
    <t>Hanover</t>
  </si>
  <si>
    <t>Henrico</t>
  </si>
  <si>
    <t>Henry</t>
  </si>
  <si>
    <t>Highland</t>
  </si>
  <si>
    <t>Isle of Wight</t>
  </si>
  <si>
    <t>James City</t>
  </si>
  <si>
    <t>King George</t>
  </si>
  <si>
    <t>King William</t>
  </si>
  <si>
    <t>King and Queen</t>
  </si>
  <si>
    <t>Lancaster</t>
  </si>
  <si>
    <t>Lee</t>
  </si>
  <si>
    <t>Loudoun</t>
  </si>
  <si>
    <t>Louisa</t>
  </si>
  <si>
    <t>Lunenburg</t>
  </si>
  <si>
    <t>Madison</t>
  </si>
  <si>
    <t>additional restitution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</si>
  <si>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</si>
  <si>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</si>
  <si>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</si>
  <si>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</si>
  <si>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</si>
  <si>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</si>
  <si>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</si>
  <si>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</si>
  <si>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</si>
  <si>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</si>
  <si>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</si>
  <si>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</si>
  <si>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</si>
  <si>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</si>
  <si>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</si>
  <si>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</si>
  <si>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</si>
  <si>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</si>
  <si>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</si>
  <si>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</si>
  <si>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</si>
  <si>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</si>
  <si>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</si>
  <si>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</si>
  <si>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</si>
  <si>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</si>
  <si>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</si>
  <si>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</si>
  <si>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</si>
  <si>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</si>
  <si>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</si>
  <si>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</si>
  <si>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</si>
  <si>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</si>
  <si>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</si>
  <si>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</si>
  <si>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</si>
  <si>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</si>
  <si>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</si>
  <si>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Mallinckrodt amounts are hard-keyed in</t>
  </si>
  <si>
    <t>check</t>
  </si>
  <si>
    <t>Direct Shares</t>
  </si>
  <si>
    <t>OAA Individual Funding</t>
  </si>
  <si>
    <t>Gold Standard</t>
  </si>
  <si>
    <t>Overall payout decrease from Cencora advance payment</t>
  </si>
  <si>
    <r>
      <t>The yearly totals in the "</t>
    </r>
    <r>
      <rPr>
        <b/>
        <sz val="10.5"/>
        <color theme="1"/>
        <rFont val="Times New Roman"/>
        <family val="1"/>
      </rPr>
      <t>Distributors,</t>
    </r>
    <r>
      <rPr>
        <sz val="10.5"/>
        <color theme="1"/>
        <rFont val="Times New Roman"/>
        <family val="1"/>
      </rPr>
      <t xml:space="preserve"> "</t>
    </r>
    <r>
      <rPr>
        <b/>
        <sz val="10.5"/>
        <color theme="1"/>
        <rFont val="Times New Roman"/>
        <family val="1"/>
      </rPr>
      <t>Janssen,</t>
    </r>
    <r>
      <rPr>
        <sz val="10.5"/>
        <color theme="1"/>
        <rFont val="Times New Roman"/>
        <family val="1"/>
      </rPr>
      <t>" "</t>
    </r>
    <r>
      <rPr>
        <b/>
        <sz val="10.5"/>
        <color theme="1"/>
        <rFont val="Times New Roman"/>
        <family val="1"/>
      </rPr>
      <t>Teva</t>
    </r>
    <r>
      <rPr>
        <sz val="10.5"/>
        <color theme="1"/>
        <rFont val="Times New Roman"/>
        <family val="1"/>
      </rPr>
      <t xml:space="preserve">," </t>
    </r>
    <r>
      <rPr>
        <b/>
        <sz val="10.5"/>
        <color theme="1"/>
        <rFont val="Times New Roman"/>
        <family val="1"/>
      </rPr>
      <t>Allergan</t>
    </r>
    <r>
      <rPr>
        <sz val="10.5"/>
        <color theme="1"/>
        <rFont val="Times New Roman"/>
        <family val="1"/>
      </rPr>
      <t>," and "</t>
    </r>
    <r>
      <rPr>
        <b/>
        <sz val="10.5"/>
        <color theme="1"/>
        <rFont val="Times New Roman"/>
        <family val="1"/>
      </rPr>
      <t>Walmart</t>
    </r>
    <r>
      <rPr>
        <sz val="10.5"/>
        <color theme="1"/>
        <rFont val="Times New Roman"/>
        <family val="1"/>
      </rPr>
      <t>" columns are calculated by taking 22.5% of the Base Payments and Incentive Payments disbursed from the settlements in the specified year.  The "</t>
    </r>
    <r>
      <rPr>
        <b/>
        <sz val="10.5"/>
        <color theme="1"/>
        <rFont val="Times New Roman"/>
        <family val="1"/>
      </rPr>
      <t>CVS</t>
    </r>
    <r>
      <rPr>
        <sz val="10.5"/>
        <color theme="1"/>
        <rFont val="Times New Roman"/>
        <family val="1"/>
      </rPr>
      <t>" yearly totals calculated using 25.5%, the "</t>
    </r>
    <r>
      <rPr>
        <b/>
        <sz val="10.5"/>
        <color theme="1"/>
        <rFont val="Times New Roman"/>
        <family val="1"/>
      </rPr>
      <t>Walgreens</t>
    </r>
    <r>
      <rPr>
        <sz val="10.5"/>
        <color theme="1"/>
        <rFont val="Times New Roman"/>
        <family val="1"/>
      </rPr>
      <t>" totals calculated using 25.0%. "</t>
    </r>
    <r>
      <rPr>
        <b/>
        <sz val="10.5"/>
        <color theme="1"/>
        <rFont val="Times New Roman"/>
        <family val="1"/>
      </rPr>
      <t>Mallinkrodt</t>
    </r>
    <r>
      <rPr>
        <sz val="10.5"/>
        <color theme="1"/>
        <rFont val="Times New Roman"/>
        <family val="1"/>
      </rPr>
      <t>" represents 30.0% of Base Payments and Incentive Payments. 
The yearly totals in the "</t>
    </r>
    <r>
      <rPr>
        <b/>
        <sz val="10.5"/>
        <color theme="1"/>
        <rFont val="Times New Roman"/>
        <family val="1"/>
      </rPr>
      <t>From OAA</t>
    </r>
    <r>
      <rPr>
        <sz val="10.5"/>
        <color theme="1"/>
        <rFont val="Times New Roman"/>
        <family val="1"/>
      </rPr>
      <t xml:space="preserve">" column are caluclated by taking 8.25% of the Base Payments and Incentive Payments disbursed from both settlements in the specified year. 
</t>
    </r>
  </si>
  <si>
    <t xml:space="preserve">Tom's sheet </t>
  </si>
  <si>
    <t>Diff (Def fund pmts)</t>
  </si>
  <si>
    <t>Projected VA Totals</t>
  </si>
  <si>
    <t>Difference*</t>
  </si>
  <si>
    <t xml:space="preserve">Reflects advance July 2027 payment by Cencora in January 2024. Reflects ESTIMATED payment to virginia for advanced Cardinal payment in January 2024. </t>
  </si>
  <si>
    <t xml:space="preserve">*Differences may be attributed to additional resititution payments made to Virginia, which are deposited to the COAR Fund. </t>
  </si>
  <si>
    <t>OLD data to prreserve</t>
  </si>
  <si>
    <t>OAA Individual Award</t>
  </si>
  <si>
    <t xml:space="preserve">Direct Distributions </t>
  </si>
  <si>
    <t>Individual Funding from OAA</t>
  </si>
  <si>
    <t xml:space="preserve">Gold Standard </t>
  </si>
  <si>
    <t>Direct Distributions Received to Date</t>
  </si>
  <si>
    <t>Direct Distributions Contributed as Match to Date</t>
  </si>
  <si>
    <t xml:space="preserve">Individual OAA Distributions Eligible to Receive to Date </t>
  </si>
  <si>
    <t>Individual Gold Standard Distributions Eligible to Receive to Date</t>
  </si>
  <si>
    <t>Total Individual Distributions Eligible to Receive (incl Gold Standard)</t>
  </si>
  <si>
    <t>Individual OAA Distributions Made to Date</t>
  </si>
  <si>
    <t>Individual Distribution Used as Match to Date</t>
  </si>
  <si>
    <t xml:space="preserve">      </t>
  </si>
  <si>
    <t>Albermarle County #1</t>
  </si>
  <si>
    <t>Albermarle County #2</t>
  </si>
  <si>
    <t>Rockingham County #1</t>
  </si>
  <si>
    <t>Rockingham County #2</t>
  </si>
  <si>
    <t>Grant Type</t>
  </si>
  <si>
    <t>Fiscal Agent? (Y/N)</t>
  </si>
  <si>
    <t xml:space="preserve">
Direct Distribution Used Toward Proposal </t>
  </si>
  <si>
    <t xml:space="preserve">
Individual Distribution Used Toward Proposal</t>
  </si>
  <si>
    <t>Other Revenue Source</t>
  </si>
  <si>
    <t>OAA Amount Requested</t>
  </si>
  <si>
    <t>Staff Award Recommendation</t>
  </si>
  <si>
    <t>OAA Amount Awarded</t>
  </si>
  <si>
    <t>OAA Individual</t>
  </si>
  <si>
    <t>Gold Standard Award Amount</t>
  </si>
  <si>
    <t>Other Revenue Contributed</t>
  </si>
  <si>
    <t>Amendments</t>
  </si>
  <si>
    <t>Adjusted Award Amount</t>
  </si>
  <si>
    <t>Individual Distribution</t>
  </si>
  <si>
    <t>N/A</t>
  </si>
  <si>
    <t xml:space="preserve">Albemarle County </t>
  </si>
  <si>
    <t>Cooperative Partnership</t>
  </si>
  <si>
    <t>Y</t>
  </si>
  <si>
    <t>N</t>
  </si>
  <si>
    <t/>
  </si>
  <si>
    <t>Cooperative Planning</t>
  </si>
  <si>
    <t>Individual Planning</t>
  </si>
  <si>
    <t xml:space="preserve">Rockingham County </t>
  </si>
  <si>
    <t xml:space="preserve">Distributors </t>
  </si>
  <si>
    <t>Base</t>
  </si>
  <si>
    <t>Def Fund</t>
  </si>
  <si>
    <t xml:space="preserve">Janssen </t>
  </si>
  <si>
    <t>McKinsey</t>
  </si>
  <si>
    <t>n/a</t>
  </si>
  <si>
    <t xml:space="preserve">Mallinckrodt </t>
  </si>
  <si>
    <t>Grand Total</t>
  </si>
  <si>
    <t>BrownGreer (Base)</t>
  </si>
  <si>
    <t xml:space="preserve">*Difference seems to be attributable to Janssen 1st addiitional restitution payment not included in BG total. </t>
  </si>
  <si>
    <t>Row Labels</t>
  </si>
  <si>
    <t>Sum of Ind. Dist (IDIC or Match</t>
  </si>
  <si>
    <t>Sum of Gold (IDIC or Match)</t>
  </si>
  <si>
    <t>Sum of Direct (Match)</t>
  </si>
  <si>
    <t xml:space="preserve">settlements should be directed to a recipient's respective City/County Attorney or outside counsel. </t>
  </si>
  <si>
    <t xml:space="preserve">These estimates do not include any subdivision-only settlements of which the Commonwealth of Virginia was not a part (i.e. McKinsey). </t>
  </si>
  <si>
    <t xml:space="preserve">Information regarding estimated payment amounts and terms associated with the use of such funds pursuant to these subdivision-only </t>
  </si>
  <si>
    <t>.</t>
  </si>
  <si>
    <t>Endo</t>
  </si>
  <si>
    <r>
      <t>Endo</t>
    </r>
    <r>
      <rPr>
        <vertAlign val="superscript"/>
        <sz val="14"/>
        <color theme="1"/>
        <rFont val="Calibri"/>
        <family val="2"/>
        <scheme val="minor"/>
      </rPr>
      <t>1</t>
    </r>
  </si>
  <si>
    <r>
      <rPr>
        <b/>
        <i/>
        <vertAlign val="superscript"/>
        <sz val="10"/>
        <color theme="1"/>
        <rFont val="Calibri"/>
        <family val="2"/>
        <scheme val="minor"/>
      </rPr>
      <t xml:space="preserve">1 </t>
    </r>
    <r>
      <rPr>
        <b/>
        <i/>
        <sz val="10"/>
        <color theme="1"/>
        <rFont val="Calibri"/>
        <family val="2"/>
        <scheme val="minor"/>
      </rPr>
      <t xml:space="preserve">Represent final payments from Mallinkrodt, Walmart, and Endo. </t>
    </r>
  </si>
  <si>
    <t>As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</si>
</sst>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00000000000000%"/>
    <numFmt numFmtId="165" formatCode="&quot;$&quot;#,##0"/>
    <numFmt numFmtId="166" formatCode="_(&quot;$&quot;* #,##0.000_);_(&quot;$&quot;* \(#,##0.000\);_(&quot;$&quot;* &quot;-&quot;???_);_(@_)"/>
    <numFmt numFmtId="167" formatCode="&quot;$&quot;#,##0.00"/>
  </numFmts>
  <fonts count="44" x14ac:knownFonts="1">
    <font>
      <sz val="11"/>
      <color theme="1"/>
      <name val="Calibri"/>
      <family val="2"/>
      <scheme val="minor"/>
    </font>
    <font>
      <b/>
      <sz val="11"/>
      <color theme="1"/>
      <name val="Calibri"/>
      <family val="2"/>
      <scheme val="minor"/>
    </font>
    <font>
      <sz val="11"/>
      <name val="Calibri"/>
      <family val="2"/>
    </font>
    <font>
      <b/>
      <sz val="12"/>
      <color theme="1"/>
      <name val="Times New Roman"/>
      <family val="1"/>
    </font>
    <font>
      <b/>
      <u/>
      <sz val="12"/>
      <color theme="1"/>
      <name val="Times New Roman"/>
      <family val="1"/>
    </font>
    <font>
      <sz val="12"/>
      <name val="Times New Roman"/>
      <family val="1"/>
    </font>
    <font>
      <sz val="12"/>
      <color theme="1"/>
      <name val="Times New Roman"/>
      <family val="1"/>
    </font>
    <font>
      <b/>
      <sz val="12"/>
      <name val="Times New Roman"/>
      <family val="1"/>
    </font>
    <font>
      <sz val="10.5"/>
      <color theme="1"/>
      <name val="Times New Roman"/>
      <family val="1"/>
    </font>
    <font>
      <b/>
      <sz val="10.5"/>
      <color theme="1"/>
      <name val="Times New Roman"/>
      <family val="1"/>
    </font>
    <font>
      <sz val="12"/>
      <color theme="1"/>
      <name val="Calibri"/>
      <family val="2"/>
      <scheme val="minor"/>
    </font>
    <font>
      <b/>
      <sz val="12"/>
      <color theme="1"/>
      <name val="Calibri"/>
      <family val="2"/>
      <scheme val="minor"/>
    </font>
    <font>
      <sz val="8"/>
      <name val="Calibri"/>
      <family val="2"/>
      <scheme val="minor"/>
    </font>
    <font>
      <b/>
      <sz val="13"/>
      <color theme="1"/>
      <name val="Calibri"/>
      <family val="2"/>
      <scheme val="minor"/>
    </font>
    <font>
      <sz val="13"/>
      <color theme="1"/>
      <name val="Calibri"/>
      <family val="2"/>
      <scheme val="minor"/>
    </font>
    <font>
      <sz val="11"/>
      <color theme="1"/>
      <name val="Times New Roman"/>
      <family val="1"/>
    </font>
    <font>
      <b/>
      <sz val="14"/>
      <color theme="1"/>
      <name val="Calibri"/>
      <family val="2"/>
      <scheme val="minor"/>
    </font>
    <font>
      <b/>
      <sz val="18"/>
      <color theme="1"/>
      <name val="Merriweather"/>
    </font>
    <font>
      <b/>
      <sz val="18"/>
      <color theme="1"/>
      <name val="Calibri"/>
      <family val="2"/>
      <scheme val="minor"/>
    </font>
    <font>
      <sz val="16"/>
      <color theme="1"/>
      <name val="Calibri"/>
      <family val="2"/>
      <scheme val="minor"/>
    </font>
    <font>
      <sz val="9"/>
      <color theme="1"/>
      <name val="Calibri"/>
      <family val="2"/>
      <scheme val="minor"/>
    </font>
    <font>
      <b/>
      <sz val="13.5"/>
      <color theme="1"/>
      <name val="Merriweather"/>
    </font>
    <font>
      <u/>
      <sz val="11"/>
      <color theme="1"/>
      <name val="Calibri"/>
      <family val="2"/>
      <scheme val="minor"/>
    </font>
    <font>
      <b/>
      <u/>
      <sz val="16"/>
      <color theme="1"/>
      <name val="Merriweather"/>
    </font>
    <font>
      <b/>
      <sz val="16"/>
      <color theme="1"/>
      <name val="Merriweather"/>
    </font>
    <font>
      <sz val="16"/>
      <color theme="1"/>
      <name val="Times New Roman"/>
      <family val="1"/>
    </font>
    <font>
      <b/>
      <u/>
      <sz val="13"/>
      <color theme="1"/>
      <name val="Calibri"/>
      <family val="2"/>
      <scheme val="minor"/>
    </font>
    <font>
      <i/>
      <sz val="12"/>
      <color theme="1"/>
      <name val="Arial"/>
      <family val="2"/>
    </font>
    <font>
      <vertAlign val="superscript"/>
      <sz val="14"/>
      <color theme="1"/>
      <name val="Calibri"/>
      <family val="2"/>
      <scheme val="minor"/>
    </font>
    <font>
      <sz val="10"/>
      <color theme="1"/>
      <name val="Calibri"/>
      <family val="2"/>
      <scheme val="minor"/>
    </font>
    <font>
      <b/>
      <i/>
      <sz val="10"/>
      <color theme="1"/>
      <name val="Calibri"/>
      <family val="2"/>
      <scheme val="minor"/>
    </font>
    <font>
      <b/>
      <i/>
      <vertAlign val="superscript"/>
      <sz val="10"/>
      <color theme="1"/>
      <name val="Calibri"/>
      <family val="2"/>
      <scheme val="minor"/>
    </font>
    <font>
      <b/>
      <i/>
      <sz val="12"/>
      <color theme="1"/>
      <name val="Calibri"/>
      <family val="2"/>
      <scheme val="minor"/>
    </font>
    <font>
      <b/>
      <i/>
      <u/>
      <sz val="12"/>
      <color theme="1"/>
      <name val="Calibri"/>
      <family val="2"/>
      <scheme val="minor"/>
    </font>
    <font>
      <b/>
      <i/>
      <sz val="12"/>
      <color theme="1"/>
      <name val="Arial"/>
      <family val="2"/>
    </font>
    <font>
      <b/>
      <i/>
      <u/>
      <sz val="12"/>
      <color theme="1"/>
      <name val="Arial"/>
      <family val="2"/>
    </font>
    <font>
      <b/>
      <i/>
      <sz val="10.5"/>
      <color theme="1"/>
      <name val="Arial"/>
      <family val="2"/>
    </font>
    <font>
      <i/>
      <sz val="13"/>
      <color theme="1"/>
      <name val="Arial"/>
      <family val="2"/>
    </font>
    <font>
      <b/>
      <i/>
      <sz val="13"/>
      <color theme="1"/>
      <name val="Arial"/>
      <family val="2"/>
    </font>
    <font>
      <b/>
      <i/>
      <u/>
      <sz val="13"/>
      <color theme="1"/>
      <name val="Arial"/>
      <family val="2"/>
    </font>
    <font>
      <i/>
      <sz val="11"/>
      <color theme="1"/>
      <name val="Calibri"/>
      <family val="2"/>
      <scheme val="minor"/>
    </font>
    <font>
      <sz val="14"/>
      <color rgb="FF212529"/>
      <name val="Calibri"/>
      <family val="2"/>
      <scheme val="minor"/>
    </font>
    <font>
      <b/>
      <i/>
      <sz val="12"/>
      <name val="Calibri"/>
      <family val="2"/>
      <scheme val="minor"/>
    </font>
    <font>
      <sz val="1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theme="4" tint="0.79998168889431442"/>
      </patternFill>
    </fill>
    <fill>
      <patternFill patternType="solid">
        <fgColor rgb="FFAFDBC3"/>
        <bgColor indexed="64"/>
      </patternFill>
    </fill>
    <fill>
      <patternFill patternType="solid">
        <fgColor rgb="FF95C3E5"/>
        <bgColor indexed="64"/>
      </patternFill>
    </fill>
    <fill>
      <patternFill patternType="solid">
        <fgColor rgb="FF1F9156"/>
        <bgColor indexed="64"/>
      </patternFill>
    </fill>
    <fill>
      <patternFill patternType="solid">
        <fgColor theme="8" tint="0.59999389629810485"/>
        <bgColor indexed="64"/>
      </patternFill>
    </fill>
    <fill>
      <patternFill patternType="solid">
        <fgColor theme="9" tint="0.59999389629810485"/>
        <bgColor indexed="64"/>
      </patternFill>
    </fill>
  </fills>
  <borders count="72">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diagonal/>
    </border>
    <border>
      <left/>
      <right style="thin">
        <color theme="6"/>
      </right>
      <top style="thin">
        <color indexed="64"/>
      </top>
      <bottom style="double">
        <color indexed="64"/>
      </bottom>
      <diagonal/>
    </border>
    <border>
      <left style="thin">
        <color indexed="64"/>
      </left>
      <right style="thin">
        <color theme="6"/>
      </right>
      <top style="thin">
        <color indexed="64"/>
      </top>
      <bottom style="thin">
        <color indexed="64"/>
      </bottom>
      <diagonal/>
    </border>
    <border>
      <left style="thin">
        <color indexed="64"/>
      </left>
      <right style="thin">
        <color theme="6"/>
      </right>
      <top/>
      <bottom/>
      <diagonal/>
    </border>
    <border>
      <left style="thin">
        <color indexed="64"/>
      </left>
      <right style="thin">
        <color theme="6"/>
      </right>
      <top/>
      <bottom style="thin">
        <color indexed="64"/>
      </bottom>
      <diagonal/>
    </border>
    <border>
      <left style="thin">
        <color indexed="64"/>
      </left>
      <right style="thin">
        <color theme="6"/>
      </right>
      <top style="thin">
        <color indexed="64"/>
      </top>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diagonal/>
    </border>
    <border>
      <left style="thin">
        <color theme="6"/>
      </left>
      <right style="thin">
        <color theme="6"/>
      </right>
      <top/>
      <bottom/>
      <diagonal/>
    </border>
    <border>
      <left style="thin">
        <color theme="6"/>
      </left>
      <right style="thin">
        <color theme="6"/>
      </right>
      <top/>
      <bottom style="thin">
        <color indexed="64"/>
      </bottom>
      <diagonal/>
    </border>
    <border>
      <left style="thin">
        <color theme="6"/>
      </left>
      <right style="thin">
        <color theme="6"/>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6"/>
      </left>
      <right/>
      <top style="thin">
        <color indexed="64"/>
      </top>
      <bottom style="double">
        <color indexed="64"/>
      </bottom>
      <diagonal/>
    </border>
    <border>
      <left style="thin">
        <color indexed="64"/>
      </left>
      <right style="thin">
        <color theme="6"/>
      </right>
      <top style="thin">
        <color indexed="64"/>
      </top>
      <bottom style="double">
        <color indexed="64"/>
      </bottom>
      <diagonal/>
    </border>
    <border>
      <left style="thin">
        <color theme="6"/>
      </left>
      <right style="thin">
        <color auto="1"/>
      </right>
      <top style="thin">
        <color indexed="64"/>
      </top>
      <bottom style="double">
        <color indexed="64"/>
      </bottom>
      <diagonal/>
    </border>
    <border>
      <left style="thin">
        <color indexed="64"/>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indexed="64"/>
      </left>
      <right style="thin">
        <color indexed="64"/>
      </right>
      <top style="thin">
        <color indexed="64"/>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indexed="64"/>
      </right>
      <top style="thin">
        <color theme="6"/>
      </top>
      <bottom style="thin">
        <color indexed="64"/>
      </bottom>
      <diagonal/>
    </border>
    <border>
      <left style="thin">
        <color theme="6"/>
      </left>
      <right/>
      <top style="thin">
        <color theme="6"/>
      </top>
      <bottom style="thin">
        <color theme="6"/>
      </bottom>
      <diagonal/>
    </border>
    <border>
      <left style="thin">
        <color theme="6"/>
      </left>
      <right/>
      <top style="thin">
        <color theme="6"/>
      </top>
      <bottom style="thin">
        <color indexed="64"/>
      </bottom>
      <diagonal/>
    </border>
    <border>
      <left style="thin">
        <color indexed="64"/>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style="thin">
        <color indexed="64"/>
      </left>
      <right/>
      <top/>
      <bottom style="medium">
        <color indexed="64"/>
      </bottom>
      <diagonal/>
    </border>
  </borders>
  <cellStyleXfs count="2">
    <xf numFmtId="0" fontId="0" fillId="0" borderId="0"/>
    <xf numFmtId="0" fontId="2" fillId="0" borderId="0"/>
  </cellStyleXfs>
  <cellXfs count="260">
    <xf numFmtId="0" fontId="0" fillId="0" borderId="0" xfId="0"/>
    <xf numFmtId="0" fontId="1" fillId="0" borderId="0" xfId="0" applyFont="1"/>
    <xf numFmtId="3" fontId="0" fillId="0" borderId="0" xfId="0" applyNumberFormat="1"/>
    <xf numFmtId="4" fontId="0" fillId="0" borderId="0" xfId="0" applyNumberFormat="1"/>
    <xf numFmtId="0" fontId="1" fillId="0" borderId="0" xfId="0" applyFont="1" applyAlignment="1">
      <alignment horizontal="center"/>
    </xf>
    <xf numFmtId="49" fontId="1" fillId="0" borderId="0" xfId="0" applyNumberFormat="1" applyFont="1"/>
    <xf numFmtId="49" fontId="0" fillId="0" borderId="0" xfId="0" applyNumberFormat="1"/>
    <xf numFmtId="0" fontId="1" fillId="0" borderId="0" xfId="0" applyFont="1" applyAlignment="1">
      <alignment horizontal="center" wrapText="1"/>
    </xf>
    <xf numFmtId="3" fontId="1" fillId="0" borderId="0" xfId="0" applyNumberFormat="1" applyFont="1" applyAlignment="1">
      <alignment horizontal="center" wrapText="1"/>
    </xf>
    <xf numFmtId="0" fontId="3" fillId="0" borderId="0" xfId="0" applyFont="1" applyAlignment="1">
      <alignment vertical="top" wrapText="1"/>
    </xf>
    <xf numFmtId="0" fontId="0" fillId="0" borderId="0" xfId="0" applyAlignment="1">
      <alignment vertical="top"/>
    </xf>
    <xf numFmtId="0" fontId="0" fillId="0" borderId="0" xfId="0" applyAlignment="1">
      <alignment horizontal="left" vertical="top"/>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0" fillId="0" borderId="0" xfId="0" applyAlignment="1">
      <alignment vertical="center"/>
    </xf>
    <xf numFmtId="0" fontId="5" fillId="4" borderId="6" xfId="1" applyFont="1" applyFill="1" applyBorder="1" applyAlignment="1">
      <alignment horizontal="left" vertical="center"/>
    </xf>
    <xf numFmtId="164" fontId="6" fillId="4" borderId="7" xfId="0" applyNumberFormat="1" applyFont="1" applyFill="1" applyBorder="1" applyAlignment="1">
      <alignment horizontal="center" vertical="center"/>
    </xf>
    <xf numFmtId="0" fontId="5" fillId="4" borderId="0" xfId="1" applyFont="1" applyFill="1" applyAlignment="1">
      <alignment horizontal="left" vertical="center"/>
    </xf>
    <xf numFmtId="3" fontId="0" fillId="0" borderId="0" xfId="0" applyNumberFormat="1" applyAlignment="1">
      <alignment vertical="center"/>
    </xf>
    <xf numFmtId="0" fontId="0" fillId="0" borderId="8" xfId="0" applyBorder="1" applyAlignment="1">
      <alignment horizontal="center" vertical="center"/>
    </xf>
    <xf numFmtId="44" fontId="0" fillId="0" borderId="9" xfId="0" applyNumberFormat="1" applyBorder="1" applyAlignment="1">
      <alignment vertical="center"/>
    </xf>
    <xf numFmtId="44" fontId="0" fillId="0" borderId="9" xfId="0" applyNumberFormat="1" applyBorder="1" applyAlignment="1">
      <alignment horizontal="right" vertical="center"/>
    </xf>
    <xf numFmtId="44" fontId="0" fillId="0" borderId="10" xfId="0" applyNumberFormat="1" applyBorder="1" applyAlignment="1">
      <alignment vertical="center"/>
    </xf>
    <xf numFmtId="0" fontId="5" fillId="5" borderId="11" xfId="1" applyFont="1" applyFill="1" applyBorder="1" applyAlignment="1">
      <alignment horizontal="left" vertical="center"/>
    </xf>
    <xf numFmtId="164" fontId="6" fillId="5" borderId="12" xfId="0" applyNumberFormat="1" applyFont="1" applyFill="1" applyBorder="1" applyAlignment="1">
      <alignment horizontal="center" vertical="center"/>
    </xf>
    <xf numFmtId="0" fontId="5" fillId="5" borderId="0" xfId="1" applyFont="1" applyFill="1" applyAlignment="1">
      <alignment horizontal="left" vertical="center"/>
    </xf>
    <xf numFmtId="0" fontId="0" fillId="0" borderId="13" xfId="0" applyBorder="1" applyAlignment="1">
      <alignment horizontal="center" vertical="center"/>
    </xf>
    <xf numFmtId="44" fontId="0" fillId="0" borderId="14" xfId="0" applyNumberFormat="1" applyBorder="1" applyAlignment="1">
      <alignment vertical="center"/>
    </xf>
    <xf numFmtId="44" fontId="0" fillId="0" borderId="14" xfId="0" applyNumberFormat="1" applyBorder="1" applyAlignment="1">
      <alignment horizontal="right" vertical="center"/>
    </xf>
    <xf numFmtId="44" fontId="0" fillId="0" borderId="15" xfId="0" applyNumberFormat="1" applyBorder="1" applyAlignment="1">
      <alignment vertical="center"/>
    </xf>
    <xf numFmtId="44" fontId="0" fillId="0" borderId="0" xfId="0" applyNumberFormat="1" applyAlignment="1">
      <alignment vertical="center"/>
    </xf>
    <xf numFmtId="0" fontId="5" fillId="4" borderId="11" xfId="1" applyFont="1" applyFill="1" applyBorder="1" applyAlignment="1">
      <alignment horizontal="left" vertical="center"/>
    </xf>
    <xf numFmtId="164" fontId="6" fillId="4" borderId="12" xfId="0" applyNumberFormat="1" applyFont="1" applyFill="1" applyBorder="1" applyAlignment="1">
      <alignment horizontal="center" vertical="center"/>
    </xf>
    <xf numFmtId="44" fontId="0" fillId="0" borderId="16" xfId="0" applyNumberFormat="1" applyBorder="1" applyAlignment="1">
      <alignment vertical="center"/>
    </xf>
    <xf numFmtId="44" fontId="0" fillId="0" borderId="17" xfId="0" applyNumberFormat="1" applyBorder="1" applyAlignment="1">
      <alignment vertical="center"/>
    </xf>
    <xf numFmtId="0" fontId="3" fillId="0" borderId="1" xfId="0" applyFont="1" applyBorder="1" applyAlignment="1">
      <alignment horizontal="center" vertical="center"/>
    </xf>
    <xf numFmtId="44" fontId="7" fillId="0" borderId="18" xfId="0" applyNumberFormat="1" applyFont="1" applyBorder="1" applyAlignment="1">
      <alignment vertical="center"/>
    </xf>
    <xf numFmtId="44" fontId="3" fillId="0" borderId="18" xfId="0" applyNumberFormat="1" applyFont="1" applyBorder="1" applyAlignment="1">
      <alignment vertical="center"/>
    </xf>
    <xf numFmtId="44" fontId="3" fillId="0" borderId="19" xfId="0" applyNumberFormat="1" applyFont="1" applyBorder="1" applyAlignment="1">
      <alignment vertical="center"/>
    </xf>
    <xf numFmtId="49" fontId="0" fillId="0" borderId="28" xfId="0" applyNumberFormat="1" applyBorder="1" applyAlignment="1">
      <alignment horizontal="center" vertical="center"/>
    </xf>
    <xf numFmtId="44" fontId="0" fillId="0" borderId="29" xfId="0" applyNumberFormat="1" applyBorder="1" applyAlignment="1">
      <alignment vertical="center"/>
    </xf>
    <xf numFmtId="44" fontId="0" fillId="0" borderId="30" xfId="0" applyNumberFormat="1" applyBorder="1" applyAlignment="1">
      <alignment vertical="center"/>
    </xf>
    <xf numFmtId="44" fontId="0" fillId="0" borderId="31" xfId="0" applyNumberFormat="1" applyBorder="1" applyAlignment="1">
      <alignment horizontal="center" vertical="center"/>
    </xf>
    <xf numFmtId="49" fontId="0" fillId="0" borderId="13" xfId="0" applyNumberFormat="1" applyBorder="1" applyAlignment="1">
      <alignment horizontal="center" vertical="center"/>
    </xf>
    <xf numFmtId="44" fontId="0" fillId="0" borderId="14" xfId="0" applyNumberFormat="1" applyBorder="1" applyAlignment="1">
      <alignment horizontal="center" vertical="center"/>
    </xf>
    <xf numFmtId="44" fontId="0" fillId="0" borderId="12" xfId="0" applyNumberFormat="1" applyBorder="1" applyAlignment="1">
      <alignment horizontal="center" vertical="center"/>
    </xf>
    <xf numFmtId="44" fontId="0" fillId="0" borderId="15" xfId="0" applyNumberFormat="1" applyBorder="1" applyAlignment="1">
      <alignment horizontal="center" vertical="center"/>
    </xf>
    <xf numFmtId="44" fontId="0" fillId="0" borderId="12" xfId="0" applyNumberFormat="1" applyBorder="1" applyAlignment="1">
      <alignment vertical="center"/>
    </xf>
    <xf numFmtId="4" fontId="0" fillId="0" borderId="0" xfId="0" applyNumberFormat="1" applyAlignment="1">
      <alignment vertical="center"/>
    </xf>
    <xf numFmtId="10" fontId="0" fillId="0" borderId="0" xfId="0" applyNumberFormat="1" applyAlignment="1">
      <alignment vertical="center"/>
    </xf>
    <xf numFmtId="49" fontId="0" fillId="0" borderId="32" xfId="0" applyNumberFormat="1" applyBorder="1" applyAlignment="1">
      <alignment horizontal="center" vertical="center"/>
    </xf>
    <xf numFmtId="44" fontId="0" fillId="0" borderId="33" xfId="0" applyNumberFormat="1" applyBorder="1" applyAlignment="1">
      <alignment vertical="center"/>
    </xf>
    <xf numFmtId="44" fontId="0" fillId="0" borderId="34" xfId="0" applyNumberFormat="1" applyBorder="1" applyAlignment="1">
      <alignment vertical="center"/>
    </xf>
    <xf numFmtId="44" fontId="0" fillId="0" borderId="35" xfId="0" applyNumberFormat="1" applyBorder="1" applyAlignment="1">
      <alignment horizontal="center" vertical="center"/>
    </xf>
    <xf numFmtId="0" fontId="5" fillId="4" borderId="36" xfId="1" applyFont="1" applyFill="1" applyBorder="1" applyAlignment="1">
      <alignment horizontal="left" vertical="center"/>
    </xf>
    <xf numFmtId="164" fontId="6" fillId="4" borderId="37" xfId="0" applyNumberFormat="1" applyFont="1" applyFill="1" applyBorder="1" applyAlignment="1">
      <alignment horizontal="center" vertical="center"/>
    </xf>
    <xf numFmtId="44" fontId="5" fillId="4" borderId="0" xfId="1" applyNumberFormat="1" applyFont="1" applyFill="1" applyAlignment="1">
      <alignment horizontal="left" vertical="center"/>
    </xf>
    <xf numFmtId="44" fontId="0" fillId="0" borderId="0" xfId="0" applyNumberFormat="1" applyAlignment="1">
      <alignment vertical="top"/>
    </xf>
    <xf numFmtId="44" fontId="0" fillId="0" borderId="0" xfId="0" applyNumberFormat="1"/>
    <xf numFmtId="0" fontId="10" fillId="0" borderId="0" xfId="0" applyFont="1" applyAlignment="1">
      <alignment horizontal="left" vertical="top"/>
    </xf>
    <xf numFmtId="44" fontId="10" fillId="0" borderId="0" xfId="0" applyNumberFormat="1" applyFont="1" applyAlignment="1">
      <alignment horizontal="left" vertical="top"/>
    </xf>
    <xf numFmtId="0" fontId="10" fillId="0" borderId="0" xfId="0" applyFont="1"/>
    <xf numFmtId="0" fontId="11" fillId="6" borderId="12" xfId="0" applyFont="1" applyFill="1" applyBorder="1" applyAlignment="1">
      <alignment horizontal="center"/>
    </xf>
    <xf numFmtId="0" fontId="11" fillId="6" borderId="38" xfId="0" applyFont="1" applyFill="1" applyBorder="1" applyAlignment="1">
      <alignment horizontal="center"/>
    </xf>
    <xf numFmtId="44" fontId="11" fillId="6" borderId="11" xfId="0" applyNumberFormat="1" applyFont="1" applyFill="1" applyBorder="1" applyAlignment="1">
      <alignment horizontal="center"/>
    </xf>
    <xf numFmtId="44" fontId="11" fillId="7" borderId="12" xfId="0" applyNumberFormat="1" applyFont="1" applyFill="1" applyBorder="1" applyAlignment="1">
      <alignment horizontal="center"/>
    </xf>
    <xf numFmtId="44" fontId="11" fillId="7" borderId="38" xfId="0" applyNumberFormat="1" applyFont="1" applyFill="1" applyBorder="1" applyAlignment="1">
      <alignment horizontal="center"/>
    </xf>
    <xf numFmtId="44" fontId="11" fillId="7" borderId="11" xfId="0" applyNumberFormat="1" applyFont="1" applyFill="1" applyBorder="1" applyAlignment="1">
      <alignment horizontal="center"/>
    </xf>
    <xf numFmtId="0" fontId="11" fillId="8" borderId="12" xfId="0" applyFont="1" applyFill="1" applyBorder="1" applyAlignment="1">
      <alignment horizontal="center"/>
    </xf>
    <xf numFmtId="0" fontId="11" fillId="8" borderId="38" xfId="0" applyFont="1" applyFill="1" applyBorder="1" applyAlignment="1">
      <alignment horizontal="center"/>
    </xf>
    <xf numFmtId="0" fontId="11" fillId="8" borderId="11" xfId="0" applyFont="1" applyFill="1" applyBorder="1" applyAlignment="1">
      <alignment horizontal="center"/>
    </xf>
    <xf numFmtId="3" fontId="10" fillId="0" borderId="0" xfId="0" applyNumberFormat="1" applyFont="1" applyAlignment="1">
      <alignment vertical="center"/>
    </xf>
    <xf numFmtId="0" fontId="10" fillId="0" borderId="0" xfId="0" applyFont="1" applyAlignment="1">
      <alignment horizontal="center" wrapText="1"/>
    </xf>
    <xf numFmtId="0" fontId="0" fillId="0" borderId="0" xfId="0" applyAlignment="1">
      <alignment horizontal="center" wrapText="1"/>
    </xf>
    <xf numFmtId="44" fontId="1" fillId="0" borderId="0" xfId="0" applyNumberFormat="1" applyFont="1" applyAlignment="1">
      <alignment horizontal="center" wrapText="1"/>
    </xf>
    <xf numFmtId="0" fontId="11" fillId="0" borderId="0" xfId="0" applyFont="1" applyAlignment="1">
      <alignment horizontal="left" vertical="top"/>
    </xf>
    <xf numFmtId="44" fontId="11" fillId="6" borderId="38" xfId="0" applyNumberFormat="1" applyFont="1" applyFill="1" applyBorder="1" applyAlignment="1">
      <alignment horizontal="center"/>
    </xf>
    <xf numFmtId="0" fontId="0" fillId="10" borderId="0" xfId="0" applyFill="1"/>
    <xf numFmtId="0" fontId="5" fillId="11" borderId="11" xfId="1" applyFont="1" applyFill="1" applyBorder="1" applyAlignment="1">
      <alignment horizontal="left" vertical="center"/>
    </xf>
    <xf numFmtId="164" fontId="6" fillId="4" borderId="0" xfId="0" applyNumberFormat="1" applyFont="1" applyFill="1" applyAlignment="1">
      <alignment horizontal="center" vertical="center"/>
    </xf>
    <xf numFmtId="164" fontId="6" fillId="5" borderId="0" xfId="0" applyNumberFormat="1" applyFont="1" applyFill="1" applyAlignment="1">
      <alignment horizontal="center" vertical="center"/>
    </xf>
    <xf numFmtId="0" fontId="15" fillId="0" borderId="0" xfId="0" applyFont="1" applyAlignment="1">
      <alignment horizontal="left" vertical="top"/>
    </xf>
    <xf numFmtId="0" fontId="17" fillId="0" borderId="0" xfId="0" applyFont="1" applyAlignment="1">
      <alignment wrapText="1"/>
    </xf>
    <xf numFmtId="0" fontId="18" fillId="0" borderId="0" xfId="0" applyFont="1" applyAlignment="1">
      <alignment horizontal="center" vertical="center"/>
    </xf>
    <xf numFmtId="164" fontId="14" fillId="0" borderId="0" xfId="0" applyNumberFormat="1" applyFont="1" applyAlignment="1">
      <alignment horizontal="center"/>
    </xf>
    <xf numFmtId="0" fontId="21" fillId="0" borderId="0" xfId="0" applyFont="1" applyAlignment="1">
      <alignment horizontal="center" vertical="center" wrapText="1"/>
    </xf>
    <xf numFmtId="0" fontId="11" fillId="0" borderId="43" xfId="0" applyFont="1" applyBorder="1" applyAlignment="1">
      <alignment horizontal="center"/>
    </xf>
    <xf numFmtId="0" fontId="11" fillId="9" borderId="63" xfId="0" applyFont="1" applyFill="1" applyBorder="1" applyAlignment="1">
      <alignment horizontal="center"/>
    </xf>
    <xf numFmtId="0" fontId="11" fillId="9" borderId="64" xfId="0" applyFont="1" applyFill="1" applyBorder="1" applyAlignment="1">
      <alignment horizontal="center"/>
    </xf>
    <xf numFmtId="0" fontId="13" fillId="0" borderId="0" xfId="0" applyFont="1" applyAlignment="1">
      <alignment horizontal="center" vertical="center" wrapText="1"/>
    </xf>
    <xf numFmtId="164" fontId="14" fillId="9" borderId="14" xfId="0" applyNumberFormat="1" applyFont="1" applyFill="1" applyBorder="1" applyAlignment="1">
      <alignment horizontal="center" vertical="center"/>
    </xf>
    <xf numFmtId="0" fontId="0" fillId="0" borderId="0" xfId="0" applyAlignment="1">
      <alignment vertical="center" wrapText="1"/>
    </xf>
    <xf numFmtId="0" fontId="0" fillId="0" borderId="40" xfId="0" applyBorder="1" applyAlignment="1">
      <alignment vertical="center" wrapText="1"/>
    </xf>
    <xf numFmtId="0" fontId="0" fillId="0" borderId="39" xfId="0" applyBorder="1" applyAlignment="1">
      <alignment vertical="center" wrapText="1"/>
    </xf>
    <xf numFmtId="0" fontId="1" fillId="9" borderId="38" xfId="0" applyFont="1" applyFill="1" applyBorder="1" applyAlignment="1">
      <alignment wrapText="1"/>
    </xf>
    <xf numFmtId="0" fontId="21" fillId="0" borderId="0" xfId="0" applyFont="1" applyAlignment="1">
      <alignment vertical="top"/>
    </xf>
    <xf numFmtId="0" fontId="21" fillId="0" borderId="42" xfId="0" applyFont="1" applyBorder="1" applyAlignment="1">
      <alignment vertical="top"/>
    </xf>
    <xf numFmtId="0" fontId="16" fillId="0" borderId="0" xfId="0" applyFont="1" applyAlignment="1">
      <alignment horizontal="center" vertical="center" wrapText="1"/>
    </xf>
    <xf numFmtId="0" fontId="22" fillId="0" borderId="41" xfId="0" applyFont="1" applyBorder="1" applyAlignment="1">
      <alignment vertical="center" wrapText="1"/>
    </xf>
    <xf numFmtId="0" fontId="1" fillId="0" borderId="1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9" xfId="0" applyFont="1" applyBorder="1" applyAlignment="1">
      <alignment horizontal="center"/>
    </xf>
    <xf numFmtId="165" fontId="0" fillId="0" borderId="51" xfId="0" applyNumberFormat="1" applyBorder="1" applyAlignment="1">
      <alignment horizontal="center"/>
    </xf>
    <xf numFmtId="0" fontId="1" fillId="0" borderId="47" xfId="0" applyFont="1" applyBorder="1" applyAlignment="1">
      <alignment horizontal="center"/>
    </xf>
    <xf numFmtId="165" fontId="0" fillId="0" borderId="52" xfId="0" applyNumberFormat="1" applyBorder="1" applyAlignment="1">
      <alignment horizontal="center"/>
    </xf>
    <xf numFmtId="165" fontId="0" fillId="0" borderId="0" xfId="0" applyNumberFormat="1"/>
    <xf numFmtId="0" fontId="1" fillId="0" borderId="48" xfId="0" applyFont="1" applyBorder="1" applyAlignment="1">
      <alignment horizontal="center"/>
    </xf>
    <xf numFmtId="165" fontId="0" fillId="0" borderId="53" xfId="0" applyNumberFormat="1" applyBorder="1" applyAlignment="1">
      <alignment horizontal="center"/>
    </xf>
    <xf numFmtId="0" fontId="1" fillId="0" borderId="56" xfId="0" applyFont="1" applyBorder="1" applyAlignment="1">
      <alignment horizontal="center"/>
    </xf>
    <xf numFmtId="165" fontId="1" fillId="0" borderId="45" xfId="0" applyNumberFormat="1" applyFont="1" applyBorder="1" applyAlignment="1">
      <alignment horizontal="center"/>
    </xf>
    <xf numFmtId="165" fontId="1" fillId="0" borderId="43" xfId="0" applyNumberFormat="1" applyFont="1" applyBorder="1" applyAlignment="1">
      <alignment horizontal="center"/>
    </xf>
    <xf numFmtId="165" fontId="0" fillId="0" borderId="55" xfId="0" applyNumberFormat="1" applyBorder="1" applyAlignment="1">
      <alignment horizontal="center"/>
    </xf>
    <xf numFmtId="165" fontId="1" fillId="0" borderId="57" xfId="0" applyNumberFormat="1" applyFont="1" applyBorder="1" applyAlignment="1">
      <alignment horizontal="center"/>
    </xf>
    <xf numFmtId="165" fontId="1" fillId="0" borderId="58" xfId="0" applyNumberFormat="1" applyFont="1" applyBorder="1" applyAlignment="1">
      <alignment horizontal="center"/>
    </xf>
    <xf numFmtId="165" fontId="1" fillId="0" borderId="54" xfId="0" applyNumberFormat="1" applyFont="1" applyBorder="1" applyAlignment="1">
      <alignment horizontal="center"/>
    </xf>
    <xf numFmtId="165" fontId="1" fillId="0" borderId="59" xfId="0" applyNumberFormat="1" applyFont="1" applyBorder="1" applyAlignment="1">
      <alignment horizontal="center"/>
    </xf>
    <xf numFmtId="0" fontId="18" fillId="9" borderId="14" xfId="0" applyFont="1" applyFill="1" applyBorder="1" applyAlignment="1" applyProtection="1">
      <alignment horizontal="center" vertical="center" wrapText="1"/>
      <protection locked="0"/>
    </xf>
    <xf numFmtId="0" fontId="17" fillId="0" borderId="0" xfId="0" applyFont="1" applyAlignment="1">
      <alignment vertical="center" wrapText="1"/>
    </xf>
    <xf numFmtId="0" fontId="25" fillId="0" borderId="0" xfId="0" applyFont="1" applyAlignment="1">
      <alignment vertical="center" wrapText="1"/>
    </xf>
    <xf numFmtId="0" fontId="16" fillId="0" borderId="12" xfId="0" applyFont="1" applyBorder="1" applyAlignment="1">
      <alignment horizontal="center" vertical="center"/>
    </xf>
    <xf numFmtId="44" fontId="0" fillId="6" borderId="14" xfId="0" applyNumberFormat="1" applyFill="1" applyBorder="1" applyAlignment="1">
      <alignment vertical="center"/>
    </xf>
    <xf numFmtId="0" fontId="0" fillId="6" borderId="13" xfId="0" applyFill="1" applyBorder="1" applyAlignment="1">
      <alignment horizontal="center" vertical="center"/>
    </xf>
    <xf numFmtId="49" fontId="0" fillId="6" borderId="13" xfId="0" applyNumberFormat="1" applyFill="1" applyBorder="1" applyAlignment="1">
      <alignment horizontal="center" vertical="center"/>
    </xf>
    <xf numFmtId="44" fontId="1" fillId="0" borderId="0" xfId="0" applyNumberFormat="1" applyFont="1" applyAlignment="1">
      <alignment vertical="center"/>
    </xf>
    <xf numFmtId="0" fontId="1" fillId="0" borderId="0" xfId="0" applyFont="1" applyAlignment="1">
      <alignment vertical="center"/>
    </xf>
    <xf numFmtId="0" fontId="0" fillId="3" borderId="0" xfId="0" applyFill="1" applyAlignment="1">
      <alignment vertical="center"/>
    </xf>
    <xf numFmtId="0" fontId="0" fillId="0" borderId="37" xfId="0" applyBorder="1" applyAlignment="1">
      <alignment vertical="center"/>
    </xf>
    <xf numFmtId="0" fontId="0" fillId="0" borderId="36"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7" xfId="0" applyBorder="1" applyAlignment="1">
      <alignment vertical="center"/>
    </xf>
    <xf numFmtId="0" fontId="0" fillId="0" borderId="6" xfId="0" applyBorder="1" applyAlignment="1">
      <alignment vertical="center"/>
    </xf>
    <xf numFmtId="44" fontId="3" fillId="0" borderId="0" xfId="0" applyNumberFormat="1" applyFont="1" applyAlignment="1">
      <alignment vertical="top" wrapText="1"/>
    </xf>
    <xf numFmtId="165" fontId="0" fillId="0" borderId="0" xfId="0" applyNumberFormat="1" applyAlignment="1">
      <alignment vertical="center"/>
    </xf>
    <xf numFmtId="0" fontId="1" fillId="0" borderId="0" xfId="0" applyFont="1" applyAlignment="1">
      <alignment wrapText="1"/>
    </xf>
    <xf numFmtId="0" fontId="16" fillId="0" borderId="39" xfId="0" applyFont="1" applyBorder="1" applyAlignment="1">
      <alignment horizontal="center" vertical="center"/>
    </xf>
    <xf numFmtId="0" fontId="1" fillId="0" borderId="39" xfId="0" applyFont="1" applyBorder="1" applyAlignment="1">
      <alignment horizontal="center"/>
    </xf>
    <xf numFmtId="0" fontId="20" fillId="0" borderId="0" xfId="0" applyFont="1"/>
    <xf numFmtId="3" fontId="1" fillId="0" borderId="0" xfId="0" applyNumberFormat="1" applyFont="1" applyAlignment="1">
      <alignment horizontal="center"/>
    </xf>
    <xf numFmtId="0" fontId="11" fillId="0" borderId="64" xfId="0" applyFont="1" applyBorder="1" applyAlignment="1">
      <alignment horizontal="center"/>
    </xf>
    <xf numFmtId="0" fontId="11" fillId="0" borderId="65" xfId="0" applyFont="1" applyBorder="1" applyAlignment="1">
      <alignment horizontal="center"/>
    </xf>
    <xf numFmtId="0" fontId="0" fillId="9" borderId="0" xfId="0" applyFill="1"/>
    <xf numFmtId="165" fontId="0" fillId="15" borderId="52" xfId="0" applyNumberFormat="1" applyFill="1" applyBorder="1" applyAlignment="1">
      <alignment horizontal="center"/>
    </xf>
    <xf numFmtId="165" fontId="0" fillId="16" borderId="52" xfId="0" applyNumberFormat="1" applyFill="1" applyBorder="1" applyAlignment="1">
      <alignment horizontal="center"/>
    </xf>
    <xf numFmtId="0" fontId="0" fillId="0" borderId="0" xfId="0" applyAlignment="1">
      <alignment horizontal="left"/>
    </xf>
    <xf numFmtId="0" fontId="16" fillId="0" borderId="38" xfId="0" applyFont="1" applyBorder="1" applyAlignment="1">
      <alignment horizontal="center"/>
    </xf>
    <xf numFmtId="3" fontId="0" fillId="0" borderId="0" xfId="0" applyNumberFormat="1" applyAlignment="1">
      <alignment horizontal="right"/>
    </xf>
    <xf numFmtId="166" fontId="0" fillId="0" borderId="0" xfId="0" applyNumberFormat="1"/>
    <xf numFmtId="4" fontId="1" fillId="0" borderId="0" xfId="0" applyNumberFormat="1" applyFont="1" applyAlignment="1">
      <alignment vertical="center"/>
    </xf>
    <xf numFmtId="2" fontId="0" fillId="0" borderId="0" xfId="0" applyNumberFormat="1"/>
    <xf numFmtId="0" fontId="30" fillId="0" borderId="0" xfId="0" applyFont="1" applyAlignment="1">
      <alignment vertical="center"/>
    </xf>
    <xf numFmtId="0" fontId="30" fillId="0" borderId="0" xfId="0" applyFont="1"/>
    <xf numFmtId="0" fontId="36" fillId="0" borderId="0" xfId="0" applyFont="1" applyAlignment="1">
      <alignment horizontal="center" vertical="center" wrapText="1"/>
    </xf>
    <xf numFmtId="167" fontId="10" fillId="9" borderId="68" xfId="0" applyNumberFormat="1" applyFont="1" applyFill="1" applyBorder="1" applyAlignment="1">
      <alignment horizontal="center"/>
    </xf>
    <xf numFmtId="167" fontId="10" fillId="9" borderId="69" xfId="0" applyNumberFormat="1" applyFont="1" applyFill="1" applyBorder="1" applyAlignment="1">
      <alignment horizontal="center"/>
    </xf>
    <xf numFmtId="167" fontId="10" fillId="9" borderId="70" xfId="0" applyNumberFormat="1" applyFont="1" applyFill="1" applyBorder="1" applyAlignment="1">
      <alignment horizontal="center"/>
    </xf>
    <xf numFmtId="167" fontId="0" fillId="9" borderId="44" xfId="0" applyNumberFormat="1" applyFill="1" applyBorder="1"/>
    <xf numFmtId="167" fontId="0" fillId="9" borderId="0" xfId="0" applyNumberFormat="1" applyFill="1"/>
    <xf numFmtId="167" fontId="0" fillId="9" borderId="42" xfId="0" applyNumberFormat="1" applyFill="1" applyBorder="1"/>
    <xf numFmtId="167" fontId="10" fillId="9" borderId="60" xfId="0" applyNumberFormat="1" applyFont="1" applyFill="1" applyBorder="1" applyAlignment="1">
      <alignment horizontal="center"/>
    </xf>
    <xf numFmtId="167" fontId="10" fillId="9" borderId="61" xfId="0" applyNumberFormat="1" applyFont="1" applyFill="1" applyBorder="1" applyAlignment="1">
      <alignment horizontal="center"/>
    </xf>
    <xf numFmtId="167" fontId="10" fillId="9" borderId="66" xfId="0" applyNumberFormat="1" applyFont="1" applyFill="1" applyBorder="1" applyAlignment="1">
      <alignment horizontal="center"/>
    </xf>
    <xf numFmtId="167" fontId="10" fillId="0" borderId="60" xfId="0" applyNumberFormat="1" applyFont="1" applyBorder="1" applyAlignment="1">
      <alignment horizontal="center"/>
    </xf>
    <xf numFmtId="167" fontId="10" fillId="0" borderId="61" xfId="0" applyNumberFormat="1" applyFont="1" applyBorder="1" applyAlignment="1">
      <alignment horizontal="center"/>
    </xf>
    <xf numFmtId="167" fontId="10" fillId="0" borderId="66" xfId="0" applyNumberFormat="1" applyFont="1" applyBorder="1" applyAlignment="1">
      <alignment horizontal="center"/>
    </xf>
    <xf numFmtId="167" fontId="0" fillId="0" borderId="44" xfId="0" applyNumberFormat="1" applyBorder="1"/>
    <xf numFmtId="167" fontId="0" fillId="0" borderId="0" xfId="0" applyNumberFormat="1"/>
    <xf numFmtId="167" fontId="0" fillId="0" borderId="42" xfId="0" applyNumberFormat="1" applyBorder="1"/>
    <xf numFmtId="167" fontId="10" fillId="0" borderId="68" xfId="0" applyNumberFormat="1" applyFont="1" applyBorder="1" applyAlignment="1">
      <alignment horizontal="center"/>
    </xf>
    <xf numFmtId="167" fontId="10" fillId="0" borderId="62" xfId="0" applyNumberFormat="1" applyFont="1" applyBorder="1" applyAlignment="1">
      <alignment horizontal="center"/>
    </xf>
    <xf numFmtId="167" fontId="10" fillId="0" borderId="67" xfId="0" applyNumberFormat="1" applyFont="1" applyBorder="1" applyAlignment="1">
      <alignment horizontal="center"/>
    </xf>
    <xf numFmtId="167" fontId="0" fillId="0" borderId="9" xfId="0" applyNumberFormat="1" applyBorder="1"/>
    <xf numFmtId="167" fontId="11" fillId="0" borderId="43" xfId="0" applyNumberFormat="1" applyFont="1" applyBorder="1" applyAlignment="1">
      <alignment horizontal="center"/>
    </xf>
    <xf numFmtId="167" fontId="1" fillId="0" borderId="43" xfId="0" applyNumberFormat="1" applyFont="1" applyBorder="1"/>
    <xf numFmtId="167" fontId="1" fillId="0" borderId="0" xfId="0" applyNumberFormat="1" applyFont="1"/>
    <xf numFmtId="4" fontId="0" fillId="0" borderId="0" xfId="0" applyNumberFormat="1" applyAlignment="1">
      <alignment horizontal="right" vertical="center"/>
    </xf>
    <xf numFmtId="4" fontId="1" fillId="0" borderId="0" xfId="0" applyNumberFormat="1" applyFont="1" applyAlignment="1">
      <alignment horizontal="right" vertical="center"/>
    </xf>
    <xf numFmtId="0" fontId="1" fillId="0" borderId="0" xfId="0" applyFont="1" applyAlignment="1">
      <alignment horizontal="center" vertical="center"/>
    </xf>
    <xf numFmtId="0" fontId="40" fillId="0" borderId="0" xfId="0" applyFont="1" applyAlignment="1">
      <alignment vertical="center"/>
    </xf>
    <xf numFmtId="3" fontId="40" fillId="0" borderId="0" xfId="0" applyNumberFormat="1" applyFont="1" applyAlignment="1">
      <alignment vertical="center"/>
    </xf>
    <xf numFmtId="8" fontId="41" fillId="0" borderId="0" xfId="0" applyNumberFormat="1" applyFont="1"/>
    <xf numFmtId="8" fontId="0" fillId="0" borderId="0" xfId="0" applyNumberFormat="1" applyAlignment="1">
      <alignment vertical="center"/>
    </xf>
    <xf numFmtId="0" fontId="0" fillId="0" borderId="0" xfId="0" pivotButton="1"/>
    <xf numFmtId="0" fontId="42" fillId="0" borderId="0" xfId="0" applyFont="1"/>
    <xf numFmtId="0" fontId="43" fillId="0" borderId="0" xfId="0" applyFont="1"/>
    <xf numFmtId="0" fontId="4" fillId="0" borderId="71" xfId="0" applyFont="1" applyBorder="1" applyAlignment="1">
      <alignment horizontal="center" vertical="top"/>
    </xf>
    <xf numFmtId="44" fontId="0" fillId="6" borderId="12" xfId="0" applyNumberFormat="1" applyFill="1" applyBorder="1" applyAlignment="1">
      <alignment horizontal="center" vertical="center"/>
    </xf>
    <xf numFmtId="0" fontId="16" fillId="0" borderId="39" xfId="0" applyFont="1" applyBorder="1" applyAlignment="1">
      <alignment horizontal="center"/>
    </xf>
    <xf numFmtId="4" fontId="16" fillId="0" borderId="6" xfId="0" applyNumberFormat="1" applyFont="1" applyBorder="1" applyAlignment="1">
      <alignment horizontal="center"/>
    </xf>
    <xf numFmtId="4" fontId="16" fillId="0" borderId="39" xfId="0" applyNumberFormat="1" applyFont="1" applyBorder="1" applyAlignment="1">
      <alignment horizontal="center"/>
    </xf>
    <xf numFmtId="166" fontId="3" fillId="0" borderId="0" xfId="0" applyNumberFormat="1" applyFont="1" applyAlignment="1">
      <alignment vertical="top" wrapText="1"/>
    </xf>
    <xf numFmtId="0" fontId="18" fillId="9" borderId="12" xfId="0" applyFont="1" applyFill="1" applyBorder="1" applyAlignment="1" applyProtection="1">
      <alignment horizontal="center" vertical="center" wrapText="1"/>
      <protection locked="0"/>
    </xf>
    <xf numFmtId="0" fontId="18" fillId="9" borderId="38" xfId="0" applyFont="1" applyFill="1" applyBorder="1" applyAlignment="1" applyProtection="1">
      <alignment horizontal="center" vertical="center" wrapText="1"/>
      <protection locked="0"/>
    </xf>
    <xf numFmtId="0" fontId="18" fillId="9" borderId="11" xfId="0" applyFont="1" applyFill="1" applyBorder="1" applyAlignment="1" applyProtection="1">
      <alignment horizontal="center" vertical="center" wrapText="1"/>
      <protection locked="0"/>
    </xf>
    <xf numFmtId="0" fontId="24" fillId="0" borderId="0" xfId="0" applyFont="1" applyAlignment="1">
      <alignment horizontal="left" vertical="center" wrapText="1"/>
    </xf>
    <xf numFmtId="0" fontId="0" fillId="0" borderId="0" xfId="0" applyAlignment="1">
      <alignment horizontal="left"/>
    </xf>
    <xf numFmtId="0" fontId="3" fillId="3" borderId="12"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9" fillId="5" borderId="41"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42" xfId="0" applyFont="1" applyFill="1" applyBorder="1" applyAlignment="1">
      <alignment horizontal="left" vertical="center" wrapText="1"/>
    </xf>
    <xf numFmtId="0" fontId="29" fillId="5" borderId="7" xfId="0" applyFont="1" applyFill="1" applyBorder="1" applyAlignment="1">
      <alignment horizontal="left" vertical="center" wrapText="1"/>
    </xf>
    <xf numFmtId="0" fontId="29" fillId="5" borderId="39"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23" fillId="0" borderId="0" xfId="0" applyFont="1" applyAlignment="1">
      <alignment horizontal="center" vertical="center" wrapText="1"/>
    </xf>
    <xf numFmtId="0" fontId="27" fillId="0" borderId="0" xfId="0" applyFont="1" applyAlignment="1">
      <alignment horizontal="center" vertical="top" wrapText="1"/>
    </xf>
    <xf numFmtId="0" fontId="21" fillId="0" borderId="0" xfId="0" applyFont="1" applyAlignment="1">
      <alignment horizontal="center" vertical="top"/>
    </xf>
    <xf numFmtId="0" fontId="0" fillId="0" borderId="0" xfId="0" applyAlignment="1">
      <alignment horizontal="center" vertical="top"/>
    </xf>
    <xf numFmtId="0" fontId="32" fillId="0" borderId="0" xfId="0" applyFont="1" applyAlignment="1">
      <alignment vertical="center" wrapText="1"/>
    </xf>
    <xf numFmtId="0" fontId="26" fillId="13" borderId="40" xfId="0" applyFont="1" applyFill="1" applyBorder="1" applyAlignment="1">
      <alignment horizontal="center" vertical="center" wrapText="1"/>
    </xf>
    <xf numFmtId="0" fontId="26" fillId="13" borderId="36" xfId="0" applyFont="1" applyFill="1" applyBorder="1" applyAlignment="1">
      <alignment horizontal="center" vertical="center" wrapText="1"/>
    </xf>
    <xf numFmtId="0" fontId="26" fillId="12" borderId="37"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6" fillId="14" borderId="12" xfId="0" applyFont="1" applyFill="1" applyBorder="1" applyAlignment="1">
      <alignment horizontal="center" vertical="center"/>
    </xf>
    <xf numFmtId="0" fontId="26" fillId="14" borderId="38" xfId="0" applyFont="1" applyFill="1" applyBorder="1" applyAlignment="1">
      <alignment horizontal="center" vertical="center"/>
    </xf>
    <xf numFmtId="0" fontId="14" fillId="14" borderId="11" xfId="0" applyFont="1" applyFill="1" applyBorder="1" applyAlignment="1">
      <alignment horizontal="center" vertical="center"/>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1"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29" fillId="0" borderId="37" xfId="0" applyFont="1" applyBorder="1" applyAlignment="1">
      <alignment horizontal="left" vertical="center" wrapText="1"/>
    </xf>
    <xf numFmtId="0" fontId="29" fillId="0" borderId="40" xfId="0" applyFont="1" applyBorder="1" applyAlignment="1">
      <alignment horizontal="left" vertical="center" wrapText="1"/>
    </xf>
    <xf numFmtId="0" fontId="29" fillId="0" borderId="36" xfId="0" applyFont="1" applyBorder="1" applyAlignment="1">
      <alignment horizontal="left" vertical="center" wrapText="1"/>
    </xf>
    <xf numFmtId="0" fontId="29" fillId="0" borderId="41" xfId="0" applyFont="1" applyBorder="1" applyAlignment="1">
      <alignment horizontal="left"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0" fontId="29" fillId="0" borderId="7" xfId="0" applyFont="1" applyBorder="1" applyAlignment="1">
      <alignment horizontal="left" vertical="center" wrapText="1"/>
    </xf>
    <xf numFmtId="0" fontId="29" fillId="0" borderId="39" xfId="0" applyFont="1" applyBorder="1" applyAlignment="1">
      <alignment horizontal="left" vertical="center" wrapText="1"/>
    </xf>
    <xf numFmtId="0" fontId="29" fillId="0" borderId="6" xfId="0" applyFont="1" applyBorder="1" applyAlignment="1">
      <alignment horizontal="left" vertical="center" wrapText="1"/>
    </xf>
    <xf numFmtId="0" fontId="26" fillId="14" borderId="12" xfId="0" applyFont="1" applyFill="1" applyBorder="1" applyAlignment="1">
      <alignment horizontal="center" vertical="center" wrapText="1"/>
    </xf>
    <xf numFmtId="0" fontId="0" fillId="0" borderId="38" xfId="0" applyBorder="1" applyAlignment="1">
      <alignment wrapText="1"/>
    </xf>
    <xf numFmtId="0" fontId="0" fillId="0" borderId="11" xfId="0" applyBorder="1" applyAlignment="1">
      <alignment wrapText="1"/>
    </xf>
    <xf numFmtId="0" fontId="37" fillId="0" borderId="0" xfId="0" applyFont="1" applyAlignment="1">
      <alignment horizontal="center" vertical="center" wrapText="1"/>
    </xf>
    <xf numFmtId="0" fontId="24" fillId="0" borderId="0" xfId="0" applyFont="1" applyAlignment="1">
      <alignment horizontal="left" wrapText="1"/>
    </xf>
    <xf numFmtId="0" fontId="3" fillId="2" borderId="0" xfId="0" applyFont="1" applyFill="1" applyAlignment="1">
      <alignment vertical="top" wrapText="1"/>
    </xf>
    <xf numFmtId="0" fontId="0" fillId="2" borderId="0" xfId="0" applyFill="1" applyAlignment="1">
      <alignment vertical="top" wrapText="1"/>
    </xf>
    <xf numFmtId="49" fontId="8" fillId="0" borderId="20"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21"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cellXfs>
  <cellStyles count="2">
    <cellStyle name="Normal" xfId="0" builtinId="0"/>
    <cellStyle name="Normal 2" xfId="1" xr:uid="{6003A402-3940-4F2E-939D-351B6B506492}"/>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Times New Roman"/>
        <family val="1"/>
        <scheme val="none"/>
      </font>
      <numFmt numFmtId="168" formatCode="0.000000000%"/>
      <fill>
        <patternFill patternType="solid">
          <fgColor theme="4" tint="0.79998168889431442"/>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scheme val="none"/>
      </font>
      <numFmt numFmtId="0" formatCode="General"/>
      <fill>
        <patternFill patternType="solid">
          <fgColor theme="4" tint="0.79998168889431442"/>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medium">
          <color indexed="64"/>
        </bottom>
      </border>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numFmt numFmtId="168" formatCode="0.000000000%"/>
      <fill>
        <patternFill patternType="solid">
          <fgColor theme="4" tint="0.79998168889431442"/>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Times New Roman"/>
        <family val="1"/>
        <scheme val="none"/>
      </font>
      <numFmt numFmtId="0" formatCode="General"/>
      <fill>
        <patternFill patternType="solid">
          <fgColor theme="4" tint="0.79998168889431442"/>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medium">
          <color indexed="64"/>
        </bottom>
      </border>
    </dxf>
    <dxf>
      <font>
        <b/>
        <i val="0"/>
        <strike val="0"/>
        <condense val="0"/>
        <extend val="0"/>
        <outline val="0"/>
        <shadow val="0"/>
        <u val="none"/>
        <vertAlign val="baseline"/>
        <sz val="12"/>
        <color theme="1"/>
        <name val="Times New Roman"/>
        <family val="1"/>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 formatCode="#,##0"/>
    </dxf>
    <dxf>
      <numFmt numFmtId="3" formatCode="#,##0"/>
    </dxf>
  </dxfs>
  <tableStyles count="0" defaultTableStyle="TableStyleMedium2" defaultPivotStyle="PivotStyleLight16"/>
  <colors>
    <mruColors>
      <color rgb="FFAFDBC3"/>
      <color rgb="FF95C3E5"/>
      <color rgb="FF1F9156"/>
      <color rgb="FF006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269874</xdr:colOff>
      <xdr:row>0</xdr:row>
      <xdr:rowOff>47624</xdr:rowOff>
    </xdr:from>
    <xdr:to>
      <xdr:col>4</xdr:col>
      <xdr:colOff>149139</xdr:colOff>
      <xdr:row>3</xdr:row>
      <xdr:rowOff>262467</xdr:rowOff>
    </xdr:to>
    <xdr:pic>
      <xdr:nvPicPr>
        <xdr:cNvPr id="2" name="Picture 1" descr="A logo of a state&#10;&#10;Description automatically generated">
          <a:extLst>
            <a:ext uri="{FF2B5EF4-FFF2-40B4-BE49-F238E27FC236}">
              <a16:creationId xmlns:a16="http://schemas.microsoft.com/office/drawing/2014/main" id="{3FACB5C2-CE0B-4B19-B085-A250DE9EA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207" y="47624"/>
          <a:ext cx="823299" cy="77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165633</xdr:colOff>
      <xdr:row>0</xdr:row>
      <xdr:rowOff>63504</xdr:rowOff>
    </xdr:from>
    <xdr:to>
      <xdr:col>2</xdr:col>
      <xdr:colOff>1022985</xdr:colOff>
      <xdr:row>3</xdr:row>
      <xdr:rowOff>261775</xdr:rowOff>
    </xdr:to>
    <xdr:pic>
      <xdr:nvPicPr>
        <xdr:cNvPr id="6" name="Picture 5" descr="A logo of a state&#10;&#10;Description automatically generated">
          <a:extLst>
            <a:ext uri="{FF2B5EF4-FFF2-40B4-BE49-F238E27FC236}">
              <a16:creationId xmlns:a16="http://schemas.microsoft.com/office/drawing/2014/main" id="{6B7AD8BF-515F-407F-9601-491894EEE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9633" y="63504"/>
          <a:ext cx="834492" cy="817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oaaus.sharepoint.com/Shared%20Documents/Settlement%20Financial%20Models/Miles%20Allen%20Locality%20Look%20Up%20Tool%20-%20Revised%201.11.23%20to%20incl%20Mallinckrodt.xlsx" TargetMode="External"/><Relationship Id="rId1" Type="http://schemas.openxmlformats.org/officeDocument/2006/relationships/externalLinkPath" Target="/Shared%20Documents/Settlement%20Financial%20Models/Miles%20Allen%20Locality%20Look%20Up%20Tool%20-%20Revised%201.11.23%20to%20incl%20Mallinckro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QG1w_78PuEmgdBwMmok2O_F4Tp5F5z1Nuvldf4hnJCGiyGqy0zlsTKZYeL-OaQFy" itemId="01FF6DYU6O6TIOLNOL3BBK7ZC7K6WY2KRY">
      <xxl21:absoluteUrl r:id="rId2"/>
    </xxl21:alternateUrls>
    <sheetNames>
      <sheetName val="2022 Payments to Localities"/>
      <sheetName val="Locality Look-Up Tool"/>
      <sheetName val="Totals and MOU%s"/>
      <sheetName val="Sheet1"/>
      <sheetName val="Dist - VA Totals"/>
      <sheetName val="Jan - VA Totals"/>
    </sheetNames>
    <sheetDataSet>
      <sheetData sheetId="0"/>
      <sheetData sheetId="1"/>
      <sheetData sheetId="2"/>
      <sheetData sheetId="3"/>
      <sheetData sheetId="4">
        <row r="19">
          <cell r="B19">
            <v>10463017.784770502</v>
          </cell>
          <cell r="C19">
            <v>10996121.613389423</v>
          </cell>
          <cell r="D19">
            <v>10996121.613389423</v>
          </cell>
          <cell r="E19">
            <v>13763203.869174248</v>
          </cell>
          <cell r="F19">
            <v>13763203.868946237</v>
          </cell>
          <cell r="G19">
            <v>12821183.322982883</v>
          </cell>
          <cell r="H19">
            <v>12821183.322982883</v>
          </cell>
          <cell r="I19">
            <v>15245165.423499864</v>
          </cell>
          <cell r="J19">
            <v>15245165.423499864</v>
          </cell>
          <cell r="K19">
            <v>15245165.423499864</v>
          </cell>
          <cell r="L19">
            <v>12664942.894817501</v>
          </cell>
          <cell r="M19">
            <v>12664942.894817501</v>
          </cell>
          <cell r="N19">
            <v>12664942.894817501</v>
          </cell>
          <cell r="O19">
            <v>12664942.894817501</v>
          </cell>
          <cell r="P19">
            <v>12664942.894817501</v>
          </cell>
          <cell r="Q19">
            <v>12664942.894817501</v>
          </cell>
          <cell r="R19">
            <v>12664942.894817501</v>
          </cell>
          <cell r="S19">
            <v>12664942.894817501</v>
          </cell>
        </row>
        <row r="20">
          <cell r="B20">
            <v>7609467.4799160054</v>
          </cell>
          <cell r="C20">
            <v>7997179.3550679376</v>
          </cell>
          <cell r="D20">
            <v>7997179.3550679376</v>
          </cell>
          <cell r="E20">
            <v>10009602.813820539</v>
          </cell>
          <cell r="F20">
            <v>10009602.813820539</v>
          </cell>
          <cell r="G20">
            <v>9324496.9621693697</v>
          </cell>
          <cell r="H20">
            <v>9324496.9621693697</v>
          </cell>
          <cell r="I20">
            <v>11087393.035417726</v>
          </cell>
          <cell r="J20">
            <v>11087393.035417726</v>
          </cell>
          <cell r="K20">
            <v>11087393.035417726</v>
          </cell>
          <cell r="L20">
            <v>9210867.5598465446</v>
          </cell>
          <cell r="M20">
            <v>9210867.5598465446</v>
          </cell>
          <cell r="N20">
            <v>9210867.5598465446</v>
          </cell>
          <cell r="O20">
            <v>9210867.5598465446</v>
          </cell>
          <cell r="P20">
            <v>9210867.5598465446</v>
          </cell>
          <cell r="Q20">
            <v>9210867.5598465446</v>
          </cell>
          <cell r="R20">
            <v>9210867.5598465446</v>
          </cell>
          <cell r="S20">
            <v>9210867.5598465446</v>
          </cell>
        </row>
        <row r="23">
          <cell r="G23">
            <v>1627126.3973865125</v>
          </cell>
          <cell r="H23">
            <v>1627126.3973865125</v>
          </cell>
          <cell r="I23">
            <v>1627126.3973865125</v>
          </cell>
          <cell r="J23">
            <v>1627126.3973865125</v>
          </cell>
          <cell r="K23">
            <v>1627126.3973865125</v>
          </cell>
          <cell r="L23">
            <v>1627126.3973865125</v>
          </cell>
          <cell r="M23">
            <v>1627126.3973865125</v>
          </cell>
          <cell r="N23">
            <v>1627126.3973865125</v>
          </cell>
          <cell r="O23">
            <v>1627126.3973865125</v>
          </cell>
          <cell r="P23">
            <v>1627126.3973865125</v>
          </cell>
          <cell r="Q23">
            <v>1627126.3973865125</v>
          </cell>
          <cell r="R23">
            <v>1627126.3973865125</v>
          </cell>
          <cell r="S23">
            <v>1627126.3973865125</v>
          </cell>
        </row>
      </sheetData>
      <sheetData sheetId="5">
        <row r="21">
          <cell r="B21">
            <v>6433920.8939683298</v>
          </cell>
          <cell r="C21">
            <v>15010467.589055955</v>
          </cell>
          <cell r="E21">
            <v>5911744.9001370464</v>
          </cell>
          <cell r="F21">
            <v>5984463.4245865066</v>
          </cell>
          <cell r="G21">
            <v>2410542.5830786037</v>
          </cell>
          <cell r="H21">
            <v>1438161.1737172143</v>
          </cell>
          <cell r="I21">
            <v>1438161.1509160635</v>
          </cell>
          <cell r="J21">
            <v>1886755.2319233222</v>
          </cell>
          <cell r="K21">
            <v>1886755.2775256238</v>
          </cell>
          <cell r="L21">
            <v>1886755.2775256238</v>
          </cell>
        </row>
        <row r="22">
          <cell r="D22">
            <v>12014044.010602357</v>
          </cell>
          <cell r="E22">
            <v>12535356.661661377</v>
          </cell>
          <cell r="F22">
            <v>14462185.850887308</v>
          </cell>
          <cell r="G22">
            <v>1238678.7395881817</v>
          </cell>
          <cell r="H22">
            <v>1238678.7395881817</v>
          </cell>
          <cell r="I22">
            <v>1238678.7167870309</v>
          </cell>
          <cell r="J22">
            <v>1786960.4093533764</v>
          </cell>
          <cell r="K22">
            <v>1786960.3865522256</v>
          </cell>
          <cell r="L22">
            <v>1786960.3865522256</v>
          </cell>
        </row>
        <row r="25">
          <cell r="H25">
            <v>972381.38656023855</v>
          </cell>
          <cell r="I25">
            <v>972381.38656023855</v>
          </cell>
          <cell r="J25">
            <v>972381.38656023855</v>
          </cell>
          <cell r="K25">
            <v>972381.38656023855</v>
          </cell>
          <cell r="L25">
            <v>972381.36375908786</v>
          </cell>
        </row>
      </sheetData>
    </sheetDataSet>
  </externalBook>
</externalLink>
</file>

<file path=xl/persons/person.xml><?xml version="1.0" encoding="utf-8"?>
<personList xmlns="http://schemas.microsoft.com/office/spreadsheetml/2018/threadedcomments" xmlns:x="http://schemas.openxmlformats.org/spreadsheetml/2006/main">
  <person displayName="Adam Rosatelli" id="{EE6EE9EF-C85F-4CF6-919A-AF2F9C74E82D}" userId="S::arosatelli@voaa.us::dc90d97a-c23d-456f-958c-ad69fd8673d6"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Shared%20Documents/Grant%20Apps%20&amp;%20Awards/2024%20Applications/App%20Spending%20Details%20Workbook/Summary%20and%20award%20overview%20calculation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 Rosatelli" refreshedDate="45573.391256134259" createdVersion="8" refreshedVersion="8" minRefreshableVersion="3" recordCount="160" xr:uid="{3901345E-2B72-4D7A-B5BD-BA3A145A716E}">
  <cacheSource type="worksheet">
    <worksheetSource ref="B1:N161" sheet="COOP Req with match - 2025" r:id="rId2"/>
  </cacheSource>
  <cacheFields count="13">
    <cacheField name="City/County" numFmtId="0">
      <sharedItems count="91">
        <s v="Albemarle County"/>
        <s v="Alleghany County"/>
        <s v="Buena Vista City"/>
        <s v="Charlottesville City"/>
        <s v="Culpeper County"/>
        <s v="Frederick County"/>
        <s v="Harrisonburg City"/>
        <s v="Lynchburg City"/>
        <s v="Rockingham County"/>
        <s v="Stafford County"/>
        <s v="Campbell County"/>
        <s v="Caroline County"/>
        <s v="Clarke County"/>
        <s v="Covington City"/>
        <s v="Fauquier County"/>
        <s v="Fluvanna County"/>
        <s v="Fredericksburg City"/>
        <s v="Greene County"/>
        <s v="King George County"/>
        <s v="Lexington City"/>
        <s v="Louisa County"/>
        <s v="Madison County"/>
        <s v="Nelson County"/>
        <s v="Orange County"/>
        <s v="Rappahannock County"/>
        <s v="Rockbridge County"/>
        <s v="Spotsylvania County"/>
        <s v="Winchester City"/>
        <s v="Fairfax County"/>
        <s v="Prince William County"/>
        <s v="Alexandria City"/>
        <s v="Arlington County"/>
        <s v="Loudoun County"/>
        <s v="Manassas City"/>
        <s v="Manassas Park City"/>
        <s v="Danville City"/>
        <s v="Dickenson County"/>
        <s v="Grayson County"/>
        <s v="Henry County"/>
        <s v="Montgomery County"/>
        <s v="Roanoke City"/>
        <s v="Russell County"/>
        <s v="Smyth County"/>
        <s v="Washington County"/>
        <s v="Wise County"/>
        <s v="Wythe County"/>
        <s v="Bland County"/>
        <s v="Bristol City"/>
        <s v="Carroll County"/>
        <s v="Floyd County"/>
        <s v="Franklin County"/>
        <s v="Galax City"/>
        <s v="Giles County"/>
        <s v="Lee County"/>
        <s v="Martinsville City"/>
        <s v="Norton City"/>
        <s v="Patrick County"/>
        <s v="Pittsylvania County"/>
        <s v="Pulaski County"/>
        <s v="Radford City"/>
        <s v="Roanoke County"/>
        <s v="Salem City"/>
        <s v="Scott County"/>
        <s v="Tazewell County"/>
        <s v="Chesterfield County"/>
        <s v="Hanover County"/>
        <s v="Henrico County"/>
        <s v="Prince George County"/>
        <s v="Richmond City"/>
        <s v="Charles City County"/>
        <s v="Colonial Heights City"/>
        <s v="New Kent County"/>
        <s v="Petersburg City"/>
        <s v="Powhatan County"/>
        <s v="Surry County"/>
        <s v="Accomack County"/>
        <s v="Chesapeake City"/>
        <s v="Gloucester County"/>
        <s v="James City County"/>
        <s v="Newport News City"/>
        <s v="Virginia Beach City"/>
        <s v="Hampton City"/>
        <s v="Norfolk City"/>
        <s v="Northampton County"/>
        <s v="Northumberland County"/>
        <s v="Portsmouth City"/>
        <s v="Richmond County"/>
        <s v="Suffolk City"/>
        <s v="Westmoreland County"/>
        <s v="Williamsburg City"/>
        <s v="York County"/>
      </sharedItems>
    </cacheField>
    <cacheField name="Grant Type " numFmtId="0">
      <sharedItems/>
    </cacheField>
    <cacheField name="Fiscal Agent? (Y/N/NA)" numFmtId="0">
      <sharedItems/>
    </cacheField>
    <cacheField name="Region (Auto Populate)" numFmtId="0">
      <sharedItems containsSemiMixedTypes="0" containsString="0" containsNumber="1" containsInteger="1" minValue="1" maxValue="5"/>
    </cacheField>
    <cacheField name="Project Name/Description" numFmtId="0">
      <sharedItems/>
    </cacheField>
    <cacheField name="Application Type" numFmtId="0">
      <sharedItems/>
    </cacheField>
    <cacheField name="Score" numFmtId="0">
      <sharedItems containsString="0" containsBlank="1" containsNumber="1" minValue="1.81" maxValue="3.82"/>
    </cacheField>
    <cacheField name="Cooperative Carryforward" numFmtId="3">
      <sharedItems containsString="0" containsBlank="1" containsNumber="1" containsInteger="1" minValue="0" maxValue="3598493"/>
    </cacheField>
    <cacheField name="Cooperative" numFmtId="3">
      <sharedItems containsString="0" containsBlank="1" containsNumber="1" minValue="0" maxValue="3662648"/>
    </cacheField>
    <cacheField name="Cooperative Recommended" numFmtId="3">
      <sharedItems containsSemiMixedTypes="0" containsString="0" containsNumber="1" containsInteger="1" minValue="0" maxValue="2205391"/>
    </cacheField>
    <cacheField name="Ind. Dist (IDIC or Match" numFmtId="3">
      <sharedItems containsSemiMixedTypes="0" containsString="0" containsNumber="1" containsInteger="1" minValue="0" maxValue="75000"/>
    </cacheField>
    <cacheField name="Gold (IDIC or Match)" numFmtId="3">
      <sharedItems containsSemiMixedTypes="0" containsString="0" containsNumber="1" containsInteger="1" minValue="0" maxValue="48222"/>
    </cacheField>
    <cacheField name="Direct (Match)" numFmtId="3">
      <sharedItems containsSemiMixedTypes="0" containsString="0" containsNumber="1" containsInteger="1" minValue="0" maxValue="1262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x v="0"/>
    <s v="Cooperative Partnership"/>
    <s v="Yes"/>
    <n v="1"/>
    <s v="CITAC Expansion"/>
    <s v="Amendment &amp; Renewal"/>
    <n v="2.44"/>
    <n v="0"/>
    <n v="1162960"/>
    <n v="1162960"/>
    <n v="0"/>
    <n v="0"/>
    <n v="15000"/>
  </r>
  <r>
    <x v="0"/>
    <s v="Cooperative Partnership"/>
    <s v="Yes"/>
    <n v="1"/>
    <s v="Region 10 Community Outreach"/>
    <s v="Amendment &amp; Renewal"/>
    <n v="2.52"/>
    <n v="0"/>
    <n v="609225"/>
    <n v="609225"/>
    <n v="0"/>
    <n v="0"/>
    <n v="15000"/>
  </r>
  <r>
    <x v="1"/>
    <s v="Cooperative Partnership"/>
    <s v="Yes"/>
    <n v="1"/>
    <s v="Alleghany Highland Community Services One-Stop Continuum "/>
    <s v="New"/>
    <n v="2.69"/>
    <m/>
    <n v="1015794"/>
    <n v="1015794"/>
    <n v="28995"/>
    <n v="7248"/>
    <n v="89112"/>
  </r>
  <r>
    <x v="2"/>
    <s v="Cooperative Partnership"/>
    <s v="Yes"/>
    <n v="1"/>
    <s v="HOPE House"/>
    <s v="Amendment &amp; Renewal"/>
    <n v="2.78"/>
    <m/>
    <n v="486949"/>
    <n v="486949"/>
    <n v="3352"/>
    <n v="838"/>
    <n v="0"/>
  </r>
  <r>
    <x v="3"/>
    <s v="Cooperative Partnership"/>
    <s v="Yes"/>
    <n v="1"/>
    <s v="Expand Specialty Dockets Services Regionally"/>
    <s v="New"/>
    <n v="2.33"/>
    <n v="0"/>
    <n v="378437"/>
    <n v="383437"/>
    <n v="0"/>
    <n v="0"/>
    <n v="20000"/>
  </r>
  <r>
    <x v="4"/>
    <s v="Cooperative Partnership"/>
    <s v="Yes"/>
    <n v="1"/>
    <s v="Encompass/Peer Support Specialists"/>
    <s v="Renewal"/>
    <n v="2.4"/>
    <n v="41627"/>
    <n v="245809"/>
    <n v="245809"/>
    <n v="0"/>
    <n v="0"/>
    <n v="0"/>
  </r>
  <r>
    <x v="5"/>
    <s v="Cooperative Partnership"/>
    <s v="Yes"/>
    <n v="1"/>
    <s v="MAT expansion "/>
    <s v="New"/>
    <n v="2.2200000000000002"/>
    <n v="0"/>
    <n v="235141"/>
    <n v="235141"/>
    <n v="0"/>
    <n v="0"/>
    <n v="0"/>
  </r>
  <r>
    <x v="6"/>
    <s v="Cooperative Partnership"/>
    <s v="Yes"/>
    <n v="1"/>
    <s v="Peer Recovery Center"/>
    <s v="New"/>
    <n v="2.5299999999999998"/>
    <m/>
    <n v="200000"/>
    <n v="200000"/>
    <n v="0"/>
    <n v="0"/>
    <n v="0"/>
  </r>
  <r>
    <x v="7"/>
    <s v="Cooperative Partnership"/>
    <s v="Yes"/>
    <n v="1"/>
    <s v="Crisis Receiving Center-Detox"/>
    <s v="Amendment &amp; Renewal"/>
    <n v="2.99"/>
    <n v="1671643"/>
    <n v="0"/>
    <n v="0"/>
    <n v="0"/>
    <n v="0"/>
    <n v="0"/>
  </r>
  <r>
    <x v="8"/>
    <s v="Cooperative Partnership"/>
    <s v="Yes"/>
    <n v="1"/>
    <s v="CITAC"/>
    <s v="Amendment &amp; Renewal"/>
    <n v="2.86"/>
    <n v="143158"/>
    <n v="201424"/>
    <n v="201424"/>
    <n v="12821"/>
    <n v="0"/>
    <n v="0"/>
  </r>
  <r>
    <x v="8"/>
    <s v="Cooperative Partnership"/>
    <s v="Yes"/>
    <n v="1"/>
    <s v="Crisis Co-Response Unit"/>
    <s v="Amendment &amp; Renewal"/>
    <m/>
    <n v="0"/>
    <m/>
    <n v="0"/>
    <n v="0"/>
    <n v="0"/>
    <n v="0"/>
  </r>
  <r>
    <x v="9"/>
    <s v="Cooperative Partnership"/>
    <s v="Yes"/>
    <n v="1"/>
    <s v="Mobile MAT &amp; Sunshine Lady House Detox"/>
    <s v="Amendment &amp; Renewal"/>
    <n v="3.54"/>
    <n v="935190"/>
    <n v="0"/>
    <n v="67974"/>
    <n v="11100"/>
    <n v="2775"/>
    <n v="65165"/>
  </r>
  <r>
    <x v="0"/>
    <s v="Cooperative Partnership"/>
    <s v="No"/>
    <n v="1"/>
    <s v="Expand Specialty Dockets Services Regionally"/>
    <s v="New"/>
    <m/>
    <m/>
    <m/>
    <n v="0"/>
    <n v="5000"/>
    <n v="0"/>
    <n v="0"/>
  </r>
  <r>
    <x v="10"/>
    <s v="Cooperative Partnership"/>
    <s v="No"/>
    <n v="1"/>
    <s v="Crisis Receiving Center-Detox"/>
    <s v="Amendment &amp; Renewal"/>
    <m/>
    <m/>
    <m/>
    <n v="0"/>
    <n v="0"/>
    <n v="0"/>
    <n v="0"/>
  </r>
  <r>
    <x v="11"/>
    <s v="Cooperative Partnership"/>
    <s v="No"/>
    <n v="1"/>
    <s v="Mobile MAT &amp; Sunshine Lady House Detox"/>
    <s v="Amendment &amp; Renewal"/>
    <m/>
    <m/>
    <m/>
    <n v="0"/>
    <n v="17290"/>
    <n v="0"/>
    <n v="0"/>
  </r>
  <r>
    <x v="3"/>
    <s v="Cooperative Partnership"/>
    <s v="No"/>
    <n v="1"/>
    <s v="CITAC Expansion"/>
    <s v="Amendment &amp; Renewal"/>
    <m/>
    <m/>
    <m/>
    <n v="0"/>
    <n v="0"/>
    <n v="0"/>
    <n v="0"/>
  </r>
  <r>
    <x v="3"/>
    <s v="Cooperative Partnership"/>
    <s v="No"/>
    <n v="1"/>
    <s v="Region 10 Community Outreach"/>
    <s v="Amendment &amp; Renewal"/>
    <m/>
    <m/>
    <m/>
    <n v="0"/>
    <n v="0"/>
    <n v="0"/>
    <n v="0"/>
  </r>
  <r>
    <x v="12"/>
    <s v="Cooperative Partnership"/>
    <s v="No"/>
    <n v="1"/>
    <s v="MAT expansion "/>
    <s v="New"/>
    <m/>
    <m/>
    <m/>
    <n v="0"/>
    <n v="0"/>
    <n v="0"/>
    <n v="0"/>
  </r>
  <r>
    <x v="13"/>
    <s v="Cooperative Partnership"/>
    <s v="No"/>
    <n v="1"/>
    <s v="Alleghany Highland Community Services One-Stop Continuum "/>
    <s v="New"/>
    <m/>
    <m/>
    <m/>
    <n v="0"/>
    <n v="13612"/>
    <n v="3403"/>
    <n v="41836"/>
  </r>
  <r>
    <x v="14"/>
    <s v="Cooperative Partnership"/>
    <s v="No"/>
    <n v="1"/>
    <s v="Encompass/Peer Support Specialists"/>
    <s v="Renewal"/>
    <m/>
    <m/>
    <m/>
    <n v="0"/>
    <n v="0"/>
    <n v="0"/>
    <n v="0"/>
  </r>
  <r>
    <x v="14"/>
    <s v="Cooperative Partnership"/>
    <s v="No"/>
    <n v="1"/>
    <s v="MAT expansion "/>
    <s v="New"/>
    <m/>
    <m/>
    <m/>
    <n v="0"/>
    <n v="0"/>
    <n v="0"/>
    <n v="0"/>
  </r>
  <r>
    <x v="15"/>
    <s v="Cooperative Partnership"/>
    <s v="No"/>
    <n v="1"/>
    <s v="CITAC Expansion"/>
    <s v="Amendment &amp; Renewal"/>
    <m/>
    <m/>
    <m/>
    <n v="0"/>
    <n v="0"/>
    <n v="0"/>
    <n v="0"/>
  </r>
  <r>
    <x v="15"/>
    <s v="Cooperative Partnership"/>
    <s v="No"/>
    <n v="1"/>
    <s v="Expand Specialty Dockets Services Regionally"/>
    <s v="New"/>
    <m/>
    <m/>
    <m/>
    <n v="0"/>
    <n v="0"/>
    <n v="0"/>
    <n v="5000"/>
  </r>
  <r>
    <x v="15"/>
    <s v="Cooperative Partnership"/>
    <s v="No"/>
    <n v="1"/>
    <s v="Region 10 Community Outreach"/>
    <s v="Amendment &amp; Renewal"/>
    <m/>
    <m/>
    <m/>
    <n v="0"/>
    <n v="0"/>
    <n v="0"/>
    <n v="0"/>
  </r>
  <r>
    <x v="16"/>
    <s v="Cooperative Partnership"/>
    <s v="No"/>
    <n v="1"/>
    <s v="Mobile MAT &amp; Sunshine Lady House Detox"/>
    <s v="Amendment &amp; Renewal"/>
    <m/>
    <m/>
    <m/>
    <n v="0"/>
    <n v="24002"/>
    <n v="13048"/>
    <n v="0"/>
  </r>
  <r>
    <x v="17"/>
    <s v="Cooperative Partnership"/>
    <s v="No"/>
    <n v="1"/>
    <s v="CITAC Expansion"/>
    <s v="Amendment &amp; Renewal"/>
    <m/>
    <m/>
    <m/>
    <n v="0"/>
    <n v="0"/>
    <n v="0"/>
    <n v="0"/>
  </r>
  <r>
    <x v="17"/>
    <s v="Cooperative Partnership"/>
    <s v="No"/>
    <n v="1"/>
    <s v="Region 10 Community Outreach"/>
    <s v="Amendment &amp; Renewal"/>
    <m/>
    <m/>
    <m/>
    <n v="0"/>
    <n v="0"/>
    <n v="0"/>
    <n v="0"/>
  </r>
  <r>
    <x v="6"/>
    <s v="Cooperative Partnership"/>
    <s v="No"/>
    <n v="1"/>
    <s v="CITAC"/>
    <s v="Amendment &amp; Renewal"/>
    <m/>
    <m/>
    <m/>
    <n v="0"/>
    <n v="0"/>
    <n v="0"/>
    <n v="12821"/>
  </r>
  <r>
    <x v="6"/>
    <s v="Cooperative Partnership"/>
    <s v="No"/>
    <n v="1"/>
    <s v="Crisis Co-Response Unit"/>
    <s v="Amendment &amp; Renewal"/>
    <m/>
    <m/>
    <m/>
    <n v="0"/>
    <n v="0"/>
    <n v="0"/>
    <n v="0"/>
  </r>
  <r>
    <x v="18"/>
    <s v="Cooperative Partnership"/>
    <s v="No"/>
    <n v="1"/>
    <s v="Mobile MAT &amp; Sunshine Lady House Detox"/>
    <s v="Amendment &amp; Renewal"/>
    <m/>
    <m/>
    <m/>
    <n v="0"/>
    <n v="19424"/>
    <n v="2806"/>
    <n v="0"/>
  </r>
  <r>
    <x v="19"/>
    <s v="Cooperative Partnership"/>
    <s v="No"/>
    <n v="1"/>
    <s v="HOPE House"/>
    <s v="Amendment &amp; Renewal"/>
    <m/>
    <m/>
    <m/>
    <n v="0"/>
    <n v="3997"/>
    <n v="999"/>
    <n v="0"/>
  </r>
  <r>
    <x v="20"/>
    <s v="Cooperative Partnership"/>
    <s v="No"/>
    <n v="1"/>
    <s v="CITAC Expansion"/>
    <s v="Amendment &amp; Renewal"/>
    <m/>
    <m/>
    <m/>
    <n v="0"/>
    <n v="0"/>
    <n v="0"/>
    <n v="0"/>
  </r>
  <r>
    <x v="20"/>
    <s v="Cooperative Partnership"/>
    <s v="No"/>
    <n v="1"/>
    <s v="Region 10 Community Outreach"/>
    <s v="Amendment &amp; Renewal"/>
    <m/>
    <m/>
    <m/>
    <n v="0"/>
    <n v="0"/>
    <n v="0"/>
    <n v="0"/>
  </r>
  <r>
    <x v="21"/>
    <s v="Cooperative Partnership"/>
    <s v="No"/>
    <n v="1"/>
    <s v="Encompass/Peer Support Specialists"/>
    <s v="Renewal"/>
    <m/>
    <m/>
    <m/>
    <n v="0"/>
    <n v="0"/>
    <n v="0"/>
    <n v="0"/>
  </r>
  <r>
    <x v="21"/>
    <s v="Cooperative Partnership"/>
    <s v="No"/>
    <n v="1"/>
    <s v="Expand Specialty Dockets Services Regionally"/>
    <s v="New"/>
    <m/>
    <m/>
    <m/>
    <n v="0"/>
    <n v="0"/>
    <n v="0"/>
    <n v="5000"/>
  </r>
  <r>
    <x v="22"/>
    <s v="Cooperative Partnership"/>
    <s v="No"/>
    <n v="1"/>
    <s v="CITAC Expansion"/>
    <s v="Amendment &amp; Renewal"/>
    <m/>
    <m/>
    <m/>
    <n v="0"/>
    <n v="0"/>
    <n v="0"/>
    <n v="0"/>
  </r>
  <r>
    <x v="22"/>
    <s v="Cooperative Partnership"/>
    <s v="No"/>
    <n v="1"/>
    <s v="Expand Specialty Dockets Services Regionally"/>
    <s v="New"/>
    <m/>
    <m/>
    <m/>
    <n v="0"/>
    <n v="0"/>
    <n v="0"/>
    <n v="5000"/>
  </r>
  <r>
    <x v="22"/>
    <s v="Cooperative Partnership"/>
    <s v="No"/>
    <n v="1"/>
    <s v="Region 10 Community Outreach"/>
    <s v="Amendment &amp; Renewal"/>
    <m/>
    <m/>
    <m/>
    <n v="0"/>
    <n v="0"/>
    <n v="0"/>
    <n v="0"/>
  </r>
  <r>
    <x v="23"/>
    <s v="Cooperative Partnership"/>
    <s v="No"/>
    <n v="1"/>
    <s v="Encompass/Peer Support Specialists"/>
    <s v="Renewal"/>
    <m/>
    <m/>
    <m/>
    <n v="0"/>
    <n v="0"/>
    <n v="0"/>
    <n v="0"/>
  </r>
  <r>
    <x v="23"/>
    <s v="Cooperative Partnership"/>
    <s v="No"/>
    <n v="1"/>
    <s v="Expand Specialty Dockets Services Regionally"/>
    <s v="New"/>
    <m/>
    <m/>
    <m/>
    <n v="0"/>
    <n v="0"/>
    <n v="0"/>
    <n v="5000"/>
  </r>
  <r>
    <x v="24"/>
    <s v="Cooperative Partnership"/>
    <s v="No"/>
    <n v="1"/>
    <s v="Encompass/Peer Support Specialists"/>
    <s v="Renewal"/>
    <m/>
    <m/>
    <m/>
    <n v="0"/>
    <n v="0"/>
    <n v="0"/>
    <n v="0"/>
  </r>
  <r>
    <x v="25"/>
    <s v="Cooperative Partnership"/>
    <s v="No"/>
    <n v="1"/>
    <s v="HOPE House"/>
    <s v="Amendment &amp; Renewal"/>
    <m/>
    <m/>
    <m/>
    <n v="0"/>
    <n v="31989"/>
    <n v="7997"/>
    <n v="0"/>
  </r>
  <r>
    <x v="8"/>
    <s v="Cooperative Partnership"/>
    <s v="No"/>
    <n v="1"/>
    <s v="Peer Recovery Center"/>
    <s v="New"/>
    <m/>
    <m/>
    <m/>
    <n v="0"/>
    <n v="0"/>
    <n v="0"/>
    <n v="0"/>
  </r>
  <r>
    <x v="26"/>
    <s v="Cooperative Partnership"/>
    <s v="No"/>
    <n v="1"/>
    <s v="Mobile MAT &amp; Sunshine Lady House Detox"/>
    <s v="Amendment &amp; Renewal"/>
    <m/>
    <m/>
    <m/>
    <n v="0"/>
    <n v="43168"/>
    <n v="48222"/>
    <n v="0"/>
  </r>
  <r>
    <x v="27"/>
    <s v="Cooperative Partnership"/>
    <s v="No"/>
    <n v="1"/>
    <s v="MAT expansion "/>
    <s v="New"/>
    <m/>
    <m/>
    <m/>
    <n v="0"/>
    <n v="0"/>
    <n v="0"/>
    <n v="0"/>
  </r>
  <r>
    <x v="28"/>
    <s v="Cooperative Partnership"/>
    <s v="Yes"/>
    <n v="2"/>
    <s v="Residential Treatment Facility for Adolescents "/>
    <s v="Amendment &amp; Renewal"/>
    <n v="2.62"/>
    <n v="3598493"/>
    <n v="1803646"/>
    <n v="1803646"/>
    <n v="0"/>
    <n v="0"/>
    <n v="0"/>
  </r>
  <r>
    <x v="29"/>
    <s v="Cooperative Partnership"/>
    <s v="Yes"/>
    <n v="2"/>
    <s v="OBAT expansion"/>
    <s v="Amendment &amp; Renewal"/>
    <n v="2"/>
    <n v="365772"/>
    <n v="549228"/>
    <n v="549228"/>
    <n v="0"/>
    <n v="0"/>
    <n v="0"/>
  </r>
  <r>
    <x v="30"/>
    <s v="Cooperative Partnership"/>
    <s v="No"/>
    <n v="2"/>
    <s v="Residential Treatment Facility for Adolescents "/>
    <s v="Amendment &amp; Renewal"/>
    <m/>
    <m/>
    <m/>
    <n v="0"/>
    <n v="0"/>
    <n v="0"/>
    <n v="12000"/>
  </r>
  <r>
    <x v="31"/>
    <s v="Cooperative Partnership"/>
    <s v="No"/>
    <n v="2"/>
    <s v="Residential Treatment Facility for Adolescents "/>
    <s v="Amendment &amp; Renewal"/>
    <m/>
    <m/>
    <m/>
    <n v="0"/>
    <n v="0"/>
    <n v="0"/>
    <n v="0"/>
  </r>
  <r>
    <x v="32"/>
    <s v="Cooperative Partnership"/>
    <s v="No"/>
    <n v="2"/>
    <s v="Residential Treatment Facility for Adolescents "/>
    <s v="Amendment &amp; Renewal"/>
    <m/>
    <m/>
    <m/>
    <n v="0"/>
    <n v="0"/>
    <n v="0"/>
    <n v="0"/>
  </r>
  <r>
    <x v="33"/>
    <s v="Cooperative Partnership"/>
    <s v="No"/>
    <n v="2"/>
    <s v="OBAT expansion"/>
    <s v="Amendment &amp; Renewal"/>
    <m/>
    <m/>
    <m/>
    <n v="0"/>
    <n v="0"/>
    <n v="0"/>
    <n v="0"/>
  </r>
  <r>
    <x v="34"/>
    <s v="Cooperative Partnership"/>
    <s v="No"/>
    <n v="2"/>
    <s v="OBAT expansion"/>
    <s v="Amendment &amp; Renewal"/>
    <m/>
    <m/>
    <m/>
    <n v="0"/>
    <n v="0"/>
    <n v="0"/>
    <n v="0"/>
  </r>
  <r>
    <x v="29"/>
    <s v="Cooperative Partnership"/>
    <s v="No"/>
    <n v="2"/>
    <s v="Residential Treatment Facility for Adolescents "/>
    <s v="Amendment &amp; Renewal"/>
    <m/>
    <m/>
    <m/>
    <n v="0"/>
    <n v="0"/>
    <n v="0"/>
    <n v="0"/>
  </r>
  <r>
    <x v="35"/>
    <s v="Cooperative Partnership"/>
    <s v="Yes"/>
    <n v="3"/>
    <s v="The Bridge"/>
    <s v="New"/>
    <n v="3.12"/>
    <m/>
    <n v="1498671.6"/>
    <n v="0"/>
    <n v="0"/>
    <n v="0"/>
    <n v="0"/>
  </r>
  <r>
    <x v="36"/>
    <s v="Cooperative Partnership"/>
    <s v="Yes"/>
    <n v="3"/>
    <s v="Wildwood Health and Wellness Center"/>
    <s v="New"/>
    <n v="2.76"/>
    <m/>
    <n v="1709675"/>
    <n v="1709675"/>
    <n v="0"/>
    <n v="0"/>
    <n v="0"/>
  </r>
  <r>
    <x v="37"/>
    <s v="Cooperative Partnership"/>
    <s v="Yes"/>
    <n v="3"/>
    <s v="Recovery Court Enhancement"/>
    <s v="Amendment &amp; Renewal"/>
    <n v="2.68"/>
    <n v="153421"/>
    <n v="82281"/>
    <n v="82281"/>
    <n v="0"/>
    <n v="0"/>
    <n v="10000"/>
  </r>
  <r>
    <x v="38"/>
    <s v="Cooperative Partnership"/>
    <s v="Yes"/>
    <n v="3"/>
    <s v="Lighthouse Program"/>
    <s v="New"/>
    <n v="2.82"/>
    <m/>
    <n v="2271896"/>
    <n v="0"/>
    <n v="0"/>
    <n v="0"/>
    <n v="0"/>
  </r>
  <r>
    <x v="39"/>
    <s v="Cooperative Partnership"/>
    <s v="Yes"/>
    <n v="3"/>
    <s v="NRV Recovery Ecosystem"/>
    <s v="Amendment &amp; Renewal"/>
    <n v="3.16"/>
    <n v="938684"/>
    <n v="3183991"/>
    <n v="2205391"/>
    <n v="23633"/>
    <n v="5908"/>
    <n v="64455"/>
  </r>
  <r>
    <x v="40"/>
    <s v="Cooperative Partnership"/>
    <s v="Yes"/>
    <n v="3"/>
    <s v="Collective Response"/>
    <s v="Amendment &amp; Renewal"/>
    <n v="2.69"/>
    <n v="349741"/>
    <n v="0"/>
    <n v="0"/>
    <n v="0"/>
    <n v="0"/>
    <n v="0"/>
  </r>
  <r>
    <x v="40"/>
    <s v="Cooperative Partnership"/>
    <s v="Yes"/>
    <n v="3"/>
    <s v="Navigator Care Specialist positions "/>
    <s v="New"/>
    <n v="2.81"/>
    <m/>
    <n v="108000"/>
    <n v="0"/>
    <n v="0"/>
    <n v="0"/>
    <n v="0"/>
  </r>
  <r>
    <x v="40"/>
    <s v="Cooperative Partnership"/>
    <s v="Yes"/>
    <n v="3"/>
    <s v="Pilot drug-checking program"/>
    <s v="New"/>
    <n v="2.62"/>
    <m/>
    <n v="80000"/>
    <n v="0"/>
    <n v="0"/>
    <n v="0"/>
    <n v="0"/>
  </r>
  <r>
    <x v="40"/>
    <s v="Cooperative Partnership"/>
    <s v="Yes"/>
    <n v="3"/>
    <s v="Restoration Housing - pregnant and postpartum women"/>
    <s v="New"/>
    <n v="3.25"/>
    <m/>
    <n v="225472"/>
    <n v="225472"/>
    <n v="0"/>
    <n v="0"/>
    <n v="27500"/>
  </r>
  <r>
    <x v="41"/>
    <s v="Cooperative Partnership"/>
    <s v="Yes"/>
    <n v="3"/>
    <s v="Recovery residences"/>
    <s v="New"/>
    <n v="3.24"/>
    <m/>
    <n v="250000"/>
    <n v="250000"/>
    <n v="0"/>
    <n v="0"/>
    <n v="25000"/>
  </r>
  <r>
    <x v="41"/>
    <s v="Cooperative Partnership"/>
    <s v="Yes"/>
    <n v="3"/>
    <s v="Secor LLC"/>
    <s v="New"/>
    <n v="2.62"/>
    <m/>
    <n v="3662648"/>
    <n v="1900000"/>
    <n v="0"/>
    <n v="0"/>
    <n v="25000"/>
  </r>
  <r>
    <x v="41"/>
    <s v="Cooperative Partnership"/>
    <s v="Yes"/>
    <n v="3"/>
    <s v="VASAP expansion"/>
    <s v="New"/>
    <n v="2.78"/>
    <m/>
    <n v="143531"/>
    <n v="0"/>
    <n v="0"/>
    <n v="0"/>
    <n v="0"/>
  </r>
  <r>
    <x v="42"/>
    <s v="Cooperative Partnership"/>
    <s v="Yes"/>
    <n v="3"/>
    <s v="Appalachian Center for Hope (ACH)"/>
    <s v="New"/>
    <n v="3.29"/>
    <m/>
    <n v="1547771"/>
    <n v="1547771"/>
    <n v="0"/>
    <n v="0"/>
    <n v="0"/>
  </r>
  <r>
    <x v="42"/>
    <s v="Cooperative Partnership"/>
    <s v="Yes"/>
    <n v="3"/>
    <s v="Mount Rogers Regional Opioid Abatement Partnership"/>
    <s v="Renewal"/>
    <n v="3"/>
    <n v="60010"/>
    <n v="939990"/>
    <n v="939990"/>
    <n v="0"/>
    <n v="0"/>
    <n v="0"/>
  </r>
  <r>
    <x v="42"/>
    <s v="Cooperative Partnership"/>
    <s v="Yes"/>
    <n v="3"/>
    <s v="Multi-Sector Collaboration - Far Southwest-VDH"/>
    <s v="New"/>
    <n v="3.27"/>
    <n v="0"/>
    <n v="1131318"/>
    <n v="1131318"/>
    <n v="0"/>
    <n v="0"/>
    <n v="50056"/>
  </r>
  <r>
    <x v="42"/>
    <s v="Cooperative Partnership"/>
    <s v="Yes"/>
    <n v="3"/>
    <s v="Project Pathfinder"/>
    <s v="New"/>
    <n v="3.09"/>
    <m/>
    <n v="305040"/>
    <n v="305040"/>
    <n v="0"/>
    <n v="0"/>
    <n v="10000"/>
  </r>
  <r>
    <x v="43"/>
    <s v="Cooperative Partnership"/>
    <s v="Yes"/>
    <n v="3"/>
    <s v="YWCA Powerhouse Community Wellness and Resource Center"/>
    <s v="New"/>
    <n v="2.77"/>
    <m/>
    <n v="1717500"/>
    <n v="0"/>
    <n v="0"/>
    <n v="0"/>
    <n v="0"/>
  </r>
  <r>
    <x v="44"/>
    <s v="Cooperative Partnership"/>
    <s v="Yes"/>
    <n v="3"/>
    <s v="Gate City Recovery House"/>
    <s v="New"/>
    <n v="3.39"/>
    <m/>
    <n v="129705"/>
    <n v="129705"/>
    <n v="20044"/>
    <n v="0"/>
    <n v="0"/>
  </r>
  <r>
    <x v="44"/>
    <s v="Cooperative Partnership"/>
    <s v="Yes"/>
    <n v="3"/>
    <s v="Intensive Outpatient Treatment Program (IOP)"/>
    <s v="Amendment &amp; Renewal"/>
    <n v="3.2"/>
    <n v="118348"/>
    <n v="224789"/>
    <n v="224789"/>
    <n v="42770"/>
    <n v="0"/>
    <n v="0"/>
  </r>
  <r>
    <x v="45"/>
    <s v="Cooperative Partnership"/>
    <s v="Yes"/>
    <n v="3"/>
    <s v="Wythe-Bland Multidimensional Family Recovery Services"/>
    <s v="New"/>
    <n v="2.37"/>
    <m/>
    <n v="255242"/>
    <n v="0"/>
    <n v="0"/>
    <n v="0"/>
    <n v="0"/>
  </r>
  <r>
    <x v="46"/>
    <s v="Cooperative Partnership"/>
    <s v="No"/>
    <n v="3"/>
    <s v="Mount Rogers Regional Opioid Abatement Partnership"/>
    <s v="Renewal"/>
    <m/>
    <m/>
    <m/>
    <n v="0"/>
    <n v="0"/>
    <n v="0"/>
    <n v="0"/>
  </r>
  <r>
    <x v="46"/>
    <s v="Cooperative Partnership"/>
    <s v="No"/>
    <n v="3"/>
    <s v="Multi-Sector Collaboration - Far Southwest-VDH"/>
    <s v="New"/>
    <m/>
    <m/>
    <m/>
    <n v="0"/>
    <n v="0"/>
    <n v="0"/>
    <n v="0"/>
  </r>
  <r>
    <x v="46"/>
    <s v="Cooperative Partnership"/>
    <s v="No"/>
    <n v="3"/>
    <s v="Wythe-Bland Multidimensional Family Recovery Services"/>
    <s v="New"/>
    <m/>
    <m/>
    <m/>
    <n v="0"/>
    <n v="0"/>
    <n v="0"/>
    <n v="0"/>
  </r>
  <r>
    <x v="47"/>
    <s v="Cooperative Partnership"/>
    <s v="No"/>
    <n v="3"/>
    <s v="Multi-Sector Collaboration - Far Southwest-VDH"/>
    <s v="New"/>
    <m/>
    <m/>
    <m/>
    <n v="0"/>
    <n v="0"/>
    <n v="0"/>
    <n v="28396"/>
  </r>
  <r>
    <x v="48"/>
    <s v="Cooperative Partnership"/>
    <s v="No"/>
    <n v="3"/>
    <s v="Appalachian Center for Hope (ACH)"/>
    <s v="New"/>
    <m/>
    <m/>
    <m/>
    <n v="0"/>
    <n v="0"/>
    <n v="0"/>
    <n v="0"/>
  </r>
  <r>
    <x v="48"/>
    <s v="Cooperative Partnership"/>
    <s v="No"/>
    <n v="3"/>
    <s v="Mount Rogers Regional Opioid Abatement Partnership"/>
    <s v="Renewal"/>
    <m/>
    <m/>
    <m/>
    <n v="0"/>
    <n v="0"/>
    <n v="0"/>
    <n v="0"/>
  </r>
  <r>
    <x v="48"/>
    <s v="Cooperative Partnership"/>
    <s v="No"/>
    <n v="3"/>
    <s v="Multi-Sector Collaboration - Far Southwest-VDH"/>
    <s v="New"/>
    <m/>
    <m/>
    <m/>
    <n v="0"/>
    <n v="0"/>
    <n v="0"/>
    <n v="48658"/>
  </r>
  <r>
    <x v="48"/>
    <s v="Cooperative Partnership"/>
    <s v="No"/>
    <n v="3"/>
    <s v="Recovery Court Enhancement"/>
    <s v="Amendment &amp; Renewal"/>
    <m/>
    <m/>
    <m/>
    <n v="0"/>
    <n v="0"/>
    <n v="0"/>
    <n v="10000"/>
  </r>
  <r>
    <x v="36"/>
    <s v="Cooperative Partnership"/>
    <s v="No"/>
    <n v="3"/>
    <s v="Project Pathfinder"/>
    <s v="New"/>
    <m/>
    <m/>
    <m/>
    <n v="0"/>
    <n v="0"/>
    <n v="0"/>
    <n v="0"/>
  </r>
  <r>
    <x v="36"/>
    <s v="Cooperative Partnership"/>
    <s v="No"/>
    <n v="3"/>
    <s v="Recovery residences"/>
    <s v="New"/>
    <m/>
    <m/>
    <m/>
    <n v="0"/>
    <n v="0"/>
    <n v="0"/>
    <n v="74618"/>
  </r>
  <r>
    <x v="36"/>
    <s v="Cooperative Partnership"/>
    <s v="No"/>
    <n v="3"/>
    <s v="VASAP expansion"/>
    <s v="New"/>
    <m/>
    <m/>
    <m/>
    <n v="0"/>
    <n v="0"/>
    <n v="0"/>
    <n v="0"/>
  </r>
  <r>
    <x v="49"/>
    <s v="Cooperative Partnership"/>
    <s v="No"/>
    <n v="3"/>
    <s v="NRV Recovery Ecosystem"/>
    <s v="Amendment &amp; Renewal"/>
    <m/>
    <m/>
    <m/>
    <n v="0"/>
    <n v="3570"/>
    <n v="892"/>
    <n v="9735"/>
  </r>
  <r>
    <x v="50"/>
    <s v="Cooperative Partnership"/>
    <s v="No"/>
    <n v="3"/>
    <s v="Lighthouse Program"/>
    <s v="New"/>
    <m/>
    <m/>
    <m/>
    <n v="0"/>
    <n v="0"/>
    <n v="0"/>
    <n v="0"/>
  </r>
  <r>
    <x v="51"/>
    <s v="Cooperative Partnership"/>
    <s v="No"/>
    <n v="3"/>
    <s v="Appalachian Center for Hope (ACH)"/>
    <s v="New"/>
    <m/>
    <m/>
    <m/>
    <n v="0"/>
    <n v="0"/>
    <n v="0"/>
    <n v="0"/>
  </r>
  <r>
    <x v="51"/>
    <s v="Cooperative Partnership"/>
    <s v="No"/>
    <n v="3"/>
    <s v="Mount Rogers Regional Opioid Abatement Partnership"/>
    <s v="Renewal"/>
    <m/>
    <m/>
    <m/>
    <n v="0"/>
    <n v="0"/>
    <n v="0"/>
    <n v="0"/>
  </r>
  <r>
    <x v="51"/>
    <s v="Cooperative Partnership"/>
    <s v="No"/>
    <n v="3"/>
    <s v="Multi-Sector Collaboration - Far Southwest-VDH"/>
    <s v="New"/>
    <m/>
    <m/>
    <m/>
    <n v="0"/>
    <n v="0"/>
    <n v="0"/>
    <n v="11162"/>
  </r>
  <r>
    <x v="51"/>
    <s v="Cooperative Partnership"/>
    <s v="No"/>
    <n v="3"/>
    <s v="Recovery Court Enhancement"/>
    <s v="Amendment &amp; Renewal"/>
    <m/>
    <m/>
    <m/>
    <n v="0"/>
    <n v="0"/>
    <n v="0"/>
    <n v="10000"/>
  </r>
  <r>
    <x v="52"/>
    <s v="Cooperative Partnership"/>
    <s v="No"/>
    <n v="3"/>
    <s v="NRV Recovery Ecosystem"/>
    <s v="Amendment &amp; Renewal"/>
    <m/>
    <m/>
    <m/>
    <n v="0"/>
    <n v="8022"/>
    <n v="2005"/>
    <n v="126265"/>
  </r>
  <r>
    <x v="37"/>
    <s v="Cooperative Partnership"/>
    <s v="No"/>
    <n v="3"/>
    <s v="Appalachian Center for Hope (ACH)"/>
    <s v="New"/>
    <m/>
    <m/>
    <m/>
    <n v="0"/>
    <n v="0"/>
    <n v="0"/>
    <n v="0"/>
  </r>
  <r>
    <x v="37"/>
    <s v="Cooperative Partnership"/>
    <s v="No"/>
    <n v="3"/>
    <s v="Mount Rogers Regional Opioid Abatement Partnership"/>
    <s v="Renewal"/>
    <m/>
    <m/>
    <m/>
    <n v="0"/>
    <n v="0"/>
    <n v="0"/>
    <n v="0"/>
  </r>
  <r>
    <x v="37"/>
    <s v="Cooperative Partnership"/>
    <s v="No"/>
    <n v="3"/>
    <s v="Multi-Sector Collaboration - Far Southwest-VDH"/>
    <s v="New"/>
    <m/>
    <m/>
    <m/>
    <n v="0"/>
    <n v="0"/>
    <n v="0"/>
    <n v="0"/>
  </r>
  <r>
    <x v="53"/>
    <s v="Cooperative Partnership"/>
    <s v="No"/>
    <n v="3"/>
    <s v="Gate City Recovery House"/>
    <s v="New"/>
    <m/>
    <m/>
    <m/>
    <n v="0"/>
    <n v="6357"/>
    <n v="0"/>
    <n v="0"/>
  </r>
  <r>
    <x v="53"/>
    <s v="Cooperative Partnership"/>
    <s v="No"/>
    <n v="3"/>
    <s v="Intensive Outpatient Treatment Program (IOP)"/>
    <s v="Amendment &amp; Renewal"/>
    <m/>
    <m/>
    <m/>
    <n v="0"/>
    <n v="13542"/>
    <n v="0"/>
    <n v="0"/>
  </r>
  <r>
    <x v="53"/>
    <s v="Cooperative Partnership"/>
    <s v="No"/>
    <n v="3"/>
    <s v="Project Pathfinder"/>
    <s v="New"/>
    <m/>
    <m/>
    <m/>
    <n v="0"/>
    <n v="0"/>
    <n v="0"/>
    <n v="2500"/>
  </r>
  <r>
    <x v="53"/>
    <s v="Cooperative Partnership"/>
    <s v="No"/>
    <n v="3"/>
    <s v="Wildwood Health and Wellness Center"/>
    <s v="New"/>
    <m/>
    <m/>
    <m/>
    <n v="0"/>
    <n v="0"/>
    <n v="0"/>
    <n v="0"/>
  </r>
  <r>
    <x v="54"/>
    <s v="Cooperative Partnership"/>
    <s v="No"/>
    <n v="3"/>
    <s v="Lighthouse Program"/>
    <s v="New"/>
    <m/>
    <m/>
    <m/>
    <n v="0"/>
    <n v="0"/>
    <n v="0"/>
    <n v="0"/>
  </r>
  <r>
    <x v="55"/>
    <s v="Cooperative Partnership"/>
    <s v="No"/>
    <n v="3"/>
    <s v="Gate City Recovery House"/>
    <s v="New"/>
    <m/>
    <m/>
    <m/>
    <n v="0"/>
    <n v="1265"/>
    <n v="0"/>
    <n v="0"/>
  </r>
  <r>
    <x v="55"/>
    <s v="Cooperative Partnership"/>
    <s v="No"/>
    <n v="3"/>
    <s v="Intensive Outpatient Treatment Program (IOP)"/>
    <s v="Amendment &amp; Renewal"/>
    <m/>
    <m/>
    <m/>
    <n v="0"/>
    <n v="2679"/>
    <n v="0"/>
    <n v="0"/>
  </r>
  <r>
    <x v="56"/>
    <s v="Cooperative Partnership"/>
    <s v="No"/>
    <n v="3"/>
    <s v="Lighthouse Program"/>
    <s v="New"/>
    <m/>
    <m/>
    <m/>
    <n v="0"/>
    <n v="0"/>
    <n v="0"/>
    <n v="0"/>
  </r>
  <r>
    <x v="57"/>
    <s v="Cooperative Partnership"/>
    <s v="No"/>
    <n v="3"/>
    <s v="The Bridge"/>
    <s v="New"/>
    <m/>
    <m/>
    <m/>
    <n v="0"/>
    <n v="0"/>
    <n v="0"/>
    <n v="0"/>
  </r>
  <r>
    <x v="58"/>
    <s v="Cooperative Partnership"/>
    <s v="No"/>
    <n v="3"/>
    <s v="NRV Recovery Ecosystem"/>
    <s v="Amendment &amp; Renewal"/>
    <m/>
    <m/>
    <m/>
    <n v="0"/>
    <n v="20809"/>
    <n v="5202"/>
    <n v="56752"/>
  </r>
  <r>
    <x v="59"/>
    <s v="Cooperative Partnership"/>
    <s v="No"/>
    <n v="3"/>
    <s v="NRV Recovery Ecosystem"/>
    <s v="Amendment &amp; Renewal"/>
    <m/>
    <m/>
    <m/>
    <n v="0"/>
    <n v="4844"/>
    <n v="1211"/>
    <n v="13212"/>
  </r>
  <r>
    <x v="60"/>
    <s v="Cooperative Partnership"/>
    <s v="No"/>
    <n v="3"/>
    <s v="Collective Response"/>
    <s v="Amendment &amp; Renewal"/>
    <m/>
    <m/>
    <m/>
    <n v="0"/>
    <n v="0"/>
    <n v="0"/>
    <n v="0"/>
  </r>
  <r>
    <x v="60"/>
    <s v="Cooperative Partnership"/>
    <s v="No"/>
    <n v="3"/>
    <s v="Navigator Care Specialist positions "/>
    <s v="New"/>
    <m/>
    <m/>
    <m/>
    <n v="0"/>
    <n v="0"/>
    <n v="0"/>
    <n v="0"/>
  </r>
  <r>
    <x v="60"/>
    <s v="Cooperative Partnership"/>
    <s v="No"/>
    <n v="3"/>
    <s v="Pilot drug-checking program"/>
    <s v="New"/>
    <m/>
    <m/>
    <m/>
    <n v="0"/>
    <n v="0"/>
    <n v="0"/>
    <n v="0"/>
  </r>
  <r>
    <x v="60"/>
    <s v="Cooperative Partnership"/>
    <s v="No"/>
    <n v="3"/>
    <s v="Restoration Housing - pregnant and postpartum women"/>
    <s v="New"/>
    <m/>
    <m/>
    <m/>
    <n v="0"/>
    <n v="0"/>
    <n v="0"/>
    <n v="27500"/>
  </r>
  <r>
    <x v="41"/>
    <s v="Cooperative Partnership"/>
    <s v="No"/>
    <n v="3"/>
    <s v="Project Pathfinder"/>
    <s v="New"/>
    <m/>
    <m/>
    <m/>
    <n v="0"/>
    <n v="0"/>
    <n v="0"/>
    <n v="10000"/>
  </r>
  <r>
    <x v="61"/>
    <s v="Cooperative Partnership"/>
    <s v="No"/>
    <n v="3"/>
    <s v="Navigator Care Specialist positions "/>
    <s v="New"/>
    <m/>
    <m/>
    <m/>
    <n v="0"/>
    <n v="0"/>
    <n v="0"/>
    <n v="0"/>
  </r>
  <r>
    <x v="62"/>
    <s v="Cooperative Partnership"/>
    <s v="No"/>
    <n v="3"/>
    <s v="Gate City Recovery House"/>
    <s v="New"/>
    <m/>
    <m/>
    <m/>
    <n v="0"/>
    <n v="4800"/>
    <n v="0"/>
    <n v="0"/>
  </r>
  <r>
    <x v="62"/>
    <s v="Cooperative Partnership"/>
    <s v="No"/>
    <n v="3"/>
    <s v="Intensive Outpatient Treatment Program (IOP)"/>
    <s v="Amendment &amp; Renewal"/>
    <m/>
    <m/>
    <m/>
    <n v="0"/>
    <n v="10254"/>
    <n v="0"/>
    <n v="0"/>
  </r>
  <r>
    <x v="62"/>
    <s v="Cooperative Partnership"/>
    <s v="No"/>
    <n v="3"/>
    <s v="Wildwood Health and Wellness Center"/>
    <s v="New"/>
    <m/>
    <m/>
    <m/>
    <n v="0"/>
    <n v="0"/>
    <n v="0"/>
    <n v="0"/>
  </r>
  <r>
    <x v="42"/>
    <s v="Cooperative Partnership"/>
    <s v="No"/>
    <n v="3"/>
    <s v="YWCA Powerhouse Community Wellness and Resource Center"/>
    <s v="New"/>
    <m/>
    <m/>
    <m/>
    <n v="0"/>
    <n v="0"/>
    <n v="0"/>
    <n v="0"/>
  </r>
  <r>
    <x v="63"/>
    <s v="Cooperative Partnership"/>
    <s v="No"/>
    <n v="3"/>
    <s v="Project Pathfinder"/>
    <s v="New"/>
    <m/>
    <m/>
    <m/>
    <n v="0"/>
    <n v="0"/>
    <n v="0"/>
    <n v="0"/>
  </r>
  <r>
    <x v="63"/>
    <s v="Cooperative Partnership"/>
    <s v="No"/>
    <n v="3"/>
    <s v="Secor LLC"/>
    <s v="New"/>
    <m/>
    <m/>
    <m/>
    <n v="0"/>
    <n v="75000"/>
    <n v="0"/>
    <n v="0"/>
  </r>
  <r>
    <x v="43"/>
    <s v="Cooperative Partnership"/>
    <s v="No"/>
    <n v="3"/>
    <s v="Multi-Sector Collaboration - Far Southwest-VDH"/>
    <s v="New"/>
    <m/>
    <m/>
    <m/>
    <n v="0"/>
    <n v="0"/>
    <n v="0"/>
    <n v="16280"/>
  </r>
  <r>
    <x v="44"/>
    <s v="Cooperative Partnership"/>
    <s v="No"/>
    <n v="3"/>
    <s v="Project Pathfinder"/>
    <s v="New"/>
    <m/>
    <m/>
    <m/>
    <n v="0"/>
    <n v="0"/>
    <n v="0"/>
    <n v="0"/>
  </r>
  <r>
    <x v="45"/>
    <s v="Cooperative Partnership"/>
    <s v="No"/>
    <n v="3"/>
    <s v="Appalachian Center for Hope (ACH)"/>
    <s v="New"/>
    <m/>
    <m/>
    <m/>
    <n v="0"/>
    <n v="0"/>
    <n v="0"/>
    <n v="0"/>
  </r>
  <r>
    <x v="45"/>
    <s v="Cooperative Partnership"/>
    <s v="No"/>
    <n v="3"/>
    <s v="Mount Rogers Regional Opioid Abatement Partnership"/>
    <s v="Renewal"/>
    <m/>
    <m/>
    <m/>
    <n v="0"/>
    <n v="0"/>
    <n v="0"/>
    <n v="0"/>
  </r>
  <r>
    <x v="45"/>
    <s v="Cooperative Partnership"/>
    <s v="No"/>
    <n v="3"/>
    <s v="Multi-Sector Collaboration - Far Southwest-VDH"/>
    <s v="New"/>
    <m/>
    <m/>
    <m/>
    <n v="0"/>
    <n v="0"/>
    <n v="0"/>
    <n v="47361"/>
  </r>
  <r>
    <x v="45"/>
    <s v="Cooperative Partnership"/>
    <s v="No"/>
    <n v="3"/>
    <s v="Project Pathfinder"/>
    <s v="New"/>
    <m/>
    <m/>
    <m/>
    <n v="0"/>
    <n v="0"/>
    <n v="0"/>
    <n v="0"/>
  </r>
  <r>
    <x v="64"/>
    <s v="Cooperative Partnership"/>
    <s v="Yes"/>
    <n v="4"/>
    <s v="Regional initiative staff"/>
    <s v="Amendment &amp; Renewal"/>
    <n v="3.65"/>
    <n v="1489483"/>
    <n v="0"/>
    <n v="0"/>
    <n v="70592"/>
    <n v="0"/>
    <n v="0"/>
  </r>
  <r>
    <x v="65"/>
    <s v="Cooperative Partnership"/>
    <s v="Yes"/>
    <n v="4"/>
    <s v="Project Recover"/>
    <s v="Amendment &amp; Renewal"/>
    <n v="3.19"/>
    <n v="156896"/>
    <n v="75717"/>
    <n v="75717"/>
    <n v="3000"/>
    <n v="0"/>
    <n v="0"/>
  </r>
  <r>
    <x v="66"/>
    <s v="Cooperative Partnership"/>
    <s v="Yes"/>
    <n v="4"/>
    <s v="Pregnant/Parenting Women - Henrico, Charles City, New Kent"/>
    <s v="Amendment &amp; Renewal"/>
    <n v="2.72"/>
    <n v="478655"/>
    <n v="156327"/>
    <n v="156327"/>
    <n v="0"/>
    <n v="0"/>
    <n v="50000"/>
  </r>
  <r>
    <x v="67"/>
    <s v="Cooperative Partnership"/>
    <s v="Yes"/>
    <n v="4"/>
    <s v="Crisis Receiving Center"/>
    <s v="New"/>
    <n v="2.6"/>
    <m/>
    <n v="1259295"/>
    <n v="0"/>
    <n v="0"/>
    <n v="0"/>
    <n v="0"/>
  </r>
  <r>
    <x v="68"/>
    <s v="Cooperative Partnership"/>
    <s v="Yes"/>
    <n v="4"/>
    <s v="Resource Mapping website"/>
    <s v="New"/>
    <n v="2.65"/>
    <n v="0"/>
    <n v="173170"/>
    <n v="173170"/>
    <n v="5000"/>
    <n v="0"/>
    <n v="0"/>
  </r>
  <r>
    <x v="69"/>
    <s v="Cooperative Partnership"/>
    <s v="No"/>
    <n v="4"/>
    <s v="Pregnant/Parenting Women - Henrico, Charles City, New Kent"/>
    <s v="Amendment &amp; Renewal"/>
    <m/>
    <m/>
    <m/>
    <n v="0"/>
    <n v="0"/>
    <n v="0"/>
    <n v="50000"/>
  </r>
  <r>
    <x v="64"/>
    <s v="Cooperative Partnership"/>
    <s v="No"/>
    <n v="4"/>
    <s v="Project Recover"/>
    <s v="Amendment &amp; Renewal"/>
    <m/>
    <m/>
    <m/>
    <n v="0"/>
    <n v="3000"/>
    <n v="0"/>
    <n v="0"/>
  </r>
  <r>
    <x v="70"/>
    <s v="Cooperative Partnership"/>
    <s v="No"/>
    <n v="4"/>
    <s v="Regional initiative staff"/>
    <s v="Amendment &amp; Renewal"/>
    <m/>
    <m/>
    <m/>
    <n v="0"/>
    <n v="5946"/>
    <n v="0"/>
    <n v="18654"/>
  </r>
  <r>
    <x v="66"/>
    <s v="Cooperative Partnership"/>
    <s v="No"/>
    <n v="4"/>
    <s v="Resource Mapping website"/>
    <s v="New"/>
    <m/>
    <m/>
    <m/>
    <n v="0"/>
    <n v="5000"/>
    <n v="0"/>
    <n v="0"/>
  </r>
  <r>
    <x v="71"/>
    <s v="Cooperative Partnership"/>
    <s v="No"/>
    <n v="4"/>
    <s v="Pregnant/Parenting Women - Henrico, Charles City, New Kent"/>
    <s v="Amendment &amp; Renewal"/>
    <m/>
    <m/>
    <m/>
    <n v="0"/>
    <n v="0"/>
    <n v="0"/>
    <n v="5000"/>
  </r>
  <r>
    <x v="72"/>
    <s v="Cooperative Partnership"/>
    <s v="No"/>
    <n v="4"/>
    <s v="Regional initiative staff"/>
    <s v="Amendment &amp; Renewal"/>
    <m/>
    <m/>
    <m/>
    <n v="0"/>
    <n v="22149"/>
    <n v="0"/>
    <n v="632"/>
  </r>
  <r>
    <x v="73"/>
    <s v="Cooperative Partnership"/>
    <s v="No"/>
    <n v="4"/>
    <s v="Regional initiative staff"/>
    <s v="Amendment &amp; Renewal"/>
    <m/>
    <m/>
    <m/>
    <n v="0"/>
    <n v="5139"/>
    <n v="0"/>
    <n v="17642"/>
  </r>
  <r>
    <x v="68"/>
    <s v="Cooperative Partnership"/>
    <s v="No"/>
    <n v="4"/>
    <s v="Project Recover"/>
    <s v="Amendment &amp; Renewal"/>
    <m/>
    <m/>
    <m/>
    <n v="0"/>
    <n v="3000"/>
    <n v="0"/>
    <n v="0"/>
  </r>
  <r>
    <x v="74"/>
    <s v="Cooperative Partnership"/>
    <s v="No"/>
    <n v="4"/>
    <s v="Crisis Receiving Center"/>
    <s v="New"/>
    <m/>
    <m/>
    <m/>
    <n v="0"/>
    <n v="0"/>
    <n v="0"/>
    <n v="0"/>
  </r>
  <r>
    <x v="75"/>
    <s v="Cooperative Partnership"/>
    <s v="Yes"/>
    <n v="5"/>
    <s v="Eastern Shore CSB services"/>
    <s v="New"/>
    <n v="2.91"/>
    <m/>
    <n v="127217"/>
    <n v="127217"/>
    <n v="10982"/>
    <n v="0"/>
    <n v="37079"/>
  </r>
  <r>
    <x v="76"/>
    <s v="Cooperative Partnership"/>
    <s v="Yes"/>
    <n v="5"/>
    <s v="chesapeake Regional Medical Center 20-Bed Inpatient pyschiatric unit"/>
    <s v="Renewal"/>
    <n v="3.19"/>
    <n v="3000000"/>
    <n v="0"/>
    <n v="0"/>
    <n v="0"/>
    <n v="0"/>
    <n v="0"/>
  </r>
  <r>
    <x v="77"/>
    <s v="Cooperative Partnership"/>
    <s v="Yes"/>
    <n v="5"/>
    <s v="Northern Neck Regional Jail MAT expansion "/>
    <s v="New"/>
    <n v="2.5099999999999998"/>
    <m/>
    <n v="215485"/>
    <n v="215485"/>
    <n v="0"/>
    <n v="0"/>
    <n v="20000"/>
  </r>
  <r>
    <x v="78"/>
    <s v="Cooperative Partnership"/>
    <s v="Yes"/>
    <n v="5"/>
    <s v="CSB Marketing Program"/>
    <s v="New"/>
    <n v="1.81"/>
    <n v="0"/>
    <n v="33288"/>
    <n v="33288"/>
    <n v="5704"/>
    <n v="1426"/>
    <n v="0"/>
  </r>
  <r>
    <x v="78"/>
    <s v="Cooperative Partnership"/>
    <s v="Yes"/>
    <n v="5"/>
    <s v="Historic Triangle Drug Prevention Coalition"/>
    <s v="New"/>
    <n v="1.9"/>
    <n v="0"/>
    <n v="168691"/>
    <n v="0"/>
    <n v="65601"/>
    <n v="16400"/>
    <n v="0"/>
  </r>
  <r>
    <x v="79"/>
    <s v="Cooperative Partnership"/>
    <s v="Yes"/>
    <n v="5"/>
    <s v="Mobile unit"/>
    <s v="New"/>
    <n v="2.59"/>
    <n v="0"/>
    <n v="286801"/>
    <n v="286801"/>
    <n v="32000"/>
    <n v="8000"/>
    <n v="0"/>
  </r>
  <r>
    <x v="79"/>
    <s v="Cooperative Partnership"/>
    <s v="Yes"/>
    <n v="5"/>
    <s v="Peer recovery system"/>
    <s v="New"/>
    <n v="2.59"/>
    <n v="0"/>
    <n v="322475"/>
    <n v="322475"/>
    <n v="48000"/>
    <n v="12000"/>
    <n v="0"/>
  </r>
  <r>
    <x v="80"/>
    <s v="Cooperative Partnership"/>
    <s v="Yes"/>
    <n v="5"/>
    <s v="Sentara Mobile Care/Outreach"/>
    <s v="New"/>
    <n v="3.82"/>
    <n v="0"/>
    <n v="883785"/>
    <n v="883785"/>
    <n v="0"/>
    <n v="0"/>
    <n v="10000"/>
  </r>
  <r>
    <x v="76"/>
    <s v="Cooperative Partnership"/>
    <s v="No"/>
    <n v="5"/>
    <s v="Sentara Mobile Care/Outreach"/>
    <s v="New"/>
    <m/>
    <m/>
    <m/>
    <n v="0"/>
    <n v="0"/>
    <n v="0"/>
    <n v="10000"/>
  </r>
  <r>
    <x v="81"/>
    <s v="Cooperative Partnership"/>
    <s v="No"/>
    <n v="5"/>
    <s v="Mobile unit"/>
    <s v="New"/>
    <m/>
    <m/>
    <m/>
    <n v="0"/>
    <n v="24000"/>
    <n v="0"/>
    <n v="0"/>
  </r>
  <r>
    <x v="81"/>
    <s v="Cooperative Partnership"/>
    <s v="No"/>
    <n v="5"/>
    <s v="Peer recovery system"/>
    <s v="New"/>
    <m/>
    <m/>
    <m/>
    <n v="0"/>
    <n v="36000"/>
    <n v="9000"/>
    <n v="0"/>
  </r>
  <r>
    <x v="82"/>
    <s v="Cooperative Partnership"/>
    <s v="No"/>
    <n v="5"/>
    <s v="Sentara Mobile Care/Outreach"/>
    <s v="New"/>
    <m/>
    <m/>
    <m/>
    <n v="0"/>
    <n v="0"/>
    <n v="0"/>
    <n v="10000"/>
  </r>
  <r>
    <x v="83"/>
    <s v="Cooperative Partnership"/>
    <s v="No"/>
    <n v="5"/>
    <s v="Eastern Shore CSB services"/>
    <s v="New"/>
    <m/>
    <m/>
    <m/>
    <n v="0"/>
    <n v="9239"/>
    <n v="0"/>
    <n v="9239"/>
  </r>
  <r>
    <x v="84"/>
    <s v="Cooperative Partnership"/>
    <s v="No"/>
    <n v="5"/>
    <s v="Northern Neck Regional Jail MAT expansion "/>
    <s v="New"/>
    <m/>
    <m/>
    <m/>
    <n v="0"/>
    <n v="0"/>
    <n v="0"/>
    <n v="0"/>
  </r>
  <r>
    <x v="85"/>
    <s v="Cooperative Partnership"/>
    <s v="No"/>
    <n v="5"/>
    <s v="Sentara Mobile Care/Outreach"/>
    <s v="New"/>
    <m/>
    <m/>
    <m/>
    <n v="0"/>
    <n v="0"/>
    <n v="0"/>
    <n v="10000"/>
  </r>
  <r>
    <x v="86"/>
    <s v="Cooperative Partnership"/>
    <s v="No"/>
    <n v="5"/>
    <s v="Northern Neck Regional Jail MAT expansion "/>
    <s v="New"/>
    <m/>
    <m/>
    <m/>
    <n v="0"/>
    <n v="0"/>
    <n v="0"/>
    <n v="0"/>
  </r>
  <r>
    <x v="87"/>
    <s v="Cooperative Partnership"/>
    <s v="No"/>
    <n v="5"/>
    <s v="Sentara Mobile Care/Outreach"/>
    <s v="New"/>
    <m/>
    <m/>
    <m/>
    <n v="0"/>
    <n v="0"/>
    <n v="0"/>
    <n v="10000"/>
  </r>
  <r>
    <x v="80"/>
    <s v="Cooperative Partnership"/>
    <s v="No"/>
    <n v="5"/>
    <s v="chesapeake Regional Medical Center 20-Bed Inpatient pyschiatric unit"/>
    <s v="Renewal"/>
    <m/>
    <m/>
    <m/>
    <n v="0"/>
    <n v="0"/>
    <n v="0"/>
    <n v="0"/>
  </r>
  <r>
    <x v="88"/>
    <s v="Cooperative Partnership"/>
    <s v="No"/>
    <n v="5"/>
    <s v="Northern Neck Regional Jail MAT expansion "/>
    <s v="New"/>
    <m/>
    <m/>
    <m/>
    <n v="0"/>
    <n v="0"/>
    <n v="0"/>
    <n v="0"/>
  </r>
  <r>
    <x v="89"/>
    <s v="Cooperative Partnership"/>
    <s v="No"/>
    <n v="5"/>
    <s v="CSB Marketing Program"/>
    <s v="New"/>
    <m/>
    <m/>
    <m/>
    <n v="0"/>
    <n v="802"/>
    <n v="200"/>
    <n v="0"/>
  </r>
  <r>
    <x v="89"/>
    <s v="Cooperative Partnership"/>
    <s v="No"/>
    <n v="5"/>
    <s v="Historic Triangle Drug Prevention Coalition"/>
    <s v="New"/>
    <m/>
    <m/>
    <m/>
    <n v="0"/>
    <n v="9218"/>
    <n v="2305"/>
    <n v="0"/>
  </r>
  <r>
    <x v="90"/>
    <s v="Cooperative Partnership"/>
    <s v="No"/>
    <n v="5"/>
    <s v="CSB Marketing Program"/>
    <s v="New"/>
    <m/>
    <m/>
    <m/>
    <n v="0"/>
    <n v="5229"/>
    <n v="1307"/>
    <n v="0"/>
  </r>
  <r>
    <x v="90"/>
    <s v="Cooperative Partnership"/>
    <s v="No"/>
    <n v="5"/>
    <s v="Historic Triangle Drug Prevention Coalition"/>
    <s v="New"/>
    <m/>
    <m/>
    <m/>
    <n v="0"/>
    <n v="60134"/>
    <n v="1503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4493BD-B8C7-4485-AF7C-BDB412AF7D23}"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95" firstHeaderRow="0" firstDataRow="1" firstDataCol="1"/>
  <pivotFields count="13">
    <pivotField axis="axisRow" showAll="0">
      <items count="92">
        <item x="75"/>
        <item x="0"/>
        <item x="30"/>
        <item x="1"/>
        <item x="31"/>
        <item x="46"/>
        <item x="47"/>
        <item x="2"/>
        <item x="10"/>
        <item x="11"/>
        <item x="48"/>
        <item x="69"/>
        <item x="3"/>
        <item x="76"/>
        <item x="64"/>
        <item x="12"/>
        <item x="70"/>
        <item x="13"/>
        <item x="4"/>
        <item x="35"/>
        <item x="36"/>
        <item x="28"/>
        <item x="14"/>
        <item x="49"/>
        <item x="15"/>
        <item x="50"/>
        <item x="5"/>
        <item x="16"/>
        <item x="51"/>
        <item x="52"/>
        <item x="77"/>
        <item x="37"/>
        <item x="17"/>
        <item x="81"/>
        <item x="65"/>
        <item x="6"/>
        <item x="66"/>
        <item x="38"/>
        <item x="78"/>
        <item x="18"/>
        <item x="53"/>
        <item x="19"/>
        <item x="32"/>
        <item x="20"/>
        <item x="7"/>
        <item x="21"/>
        <item x="33"/>
        <item x="34"/>
        <item x="54"/>
        <item x="39"/>
        <item x="22"/>
        <item x="71"/>
        <item x="79"/>
        <item x="82"/>
        <item x="83"/>
        <item x="84"/>
        <item x="55"/>
        <item x="23"/>
        <item x="56"/>
        <item x="72"/>
        <item x="57"/>
        <item x="85"/>
        <item x="73"/>
        <item x="67"/>
        <item x="29"/>
        <item x="58"/>
        <item x="59"/>
        <item x="24"/>
        <item x="68"/>
        <item x="86"/>
        <item x="40"/>
        <item x="60"/>
        <item x="25"/>
        <item x="8"/>
        <item x="41"/>
        <item x="61"/>
        <item x="62"/>
        <item x="42"/>
        <item x="26"/>
        <item x="9"/>
        <item x="87"/>
        <item x="74"/>
        <item x="63"/>
        <item x="80"/>
        <item x="43"/>
        <item x="88"/>
        <item x="89"/>
        <item x="27"/>
        <item x="44"/>
        <item x="45"/>
        <item x="90"/>
        <item t="default"/>
      </items>
    </pivotField>
    <pivotField showAll="0"/>
    <pivotField showAll="0"/>
    <pivotField showAll="0"/>
    <pivotField showAll="0"/>
    <pivotField showAll="0"/>
    <pivotField showAll="0"/>
    <pivotField showAll="0"/>
    <pivotField showAll="0"/>
    <pivotField numFmtId="3" showAll="0"/>
    <pivotField dataField="1" numFmtId="3" showAll="0"/>
    <pivotField dataField="1" numFmtId="3" showAll="0"/>
    <pivotField dataField="1" numFmtId="3" showAll="0"/>
  </pivotFields>
  <rowFields count="1">
    <field x="0"/>
  </rowFields>
  <rowItems count="9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t="grand">
      <x/>
    </i>
  </rowItems>
  <colFields count="1">
    <field x="-2"/>
  </colFields>
  <colItems count="3">
    <i>
      <x/>
    </i>
    <i i="1">
      <x v="1"/>
    </i>
    <i i="2">
      <x v="2"/>
    </i>
  </colItems>
  <dataFields count="3">
    <dataField name="Sum of Ind. Dist (IDIC or Match" fld="10" baseField="0" baseItem="0"/>
    <dataField name="Sum of Gold (IDIC or Match)" fld="11" baseField="0" baseItem="0"/>
    <dataField name="Sum of Direct (Match)" fld="12" baseField="0" baseItem="0"/>
  </dataFields>
  <formats count="2">
    <format dxfId="32">
      <pivotArea outline="0" collapsedLevelsAreSubtotals="1" fieldPosition="0"/>
    </format>
    <format dxfId="3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251574-23F0-487B-A29F-BCC6897E010C}" name="Table5" displayName="Table5" ref="J3:K136" totalsRowShown="0" headerRowDxfId="30" dataDxfId="28" headerRowBorderDxfId="29" tableBorderDxfId="27" totalsRowBorderDxfId="26">
  <autoFilter ref="J3:K136" xr:uid="{84251574-23F0-487B-A29F-BCC6897E010C}"/>
  <tableColumns count="2">
    <tableColumn id="1" xr3:uid="{9F34D190-4173-4E4D-B0E5-F8DD403B2862}" name="Locality" dataDxfId="25" dataCellStyle="Normal 2"/>
    <tableColumn id="2" xr3:uid="{F7568CA9-7D25-4D84-9641-448CE229915D}" name="Locality's Allocation Percentage "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8E5A94-8DB8-4B7E-B3F8-6C7181162C1A}" name="Table53" displayName="Table53" ref="P3:Q136" totalsRowShown="0" headerRowDxfId="23" dataDxfId="21" headerRowBorderDxfId="22" tableBorderDxfId="20" totalsRowBorderDxfId="19">
  <autoFilter ref="P3:Q136" xr:uid="{3E8E5A94-8DB8-4B7E-B3F8-6C7181162C1A}"/>
  <tableColumns count="2">
    <tableColumn id="1" xr3:uid="{18DE4590-536C-4E76-B7BC-A7250CCFB0F6}" name="Locality" dataDxfId="18" dataCellStyle="Normal 2"/>
    <tableColumn id="2" xr3:uid="{8E90E5F1-49AC-4B85-AA3B-9CC7EC5715CB}" name="Locality's Allocation Percentage " dataDxfId="17"/>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4-04-17T15:51:25.96" personId="{EE6EE9EF-C85F-4CF6-919A-AF2F9C74E82D}" id="{9B8C10C4-D3C7-4E4E-A151-1A80EEC89441}">
    <text xml:space="preserve">This number reflects the balance of funds available for Individual Distributions from FY23 through FY25 combined. This is the maximum that can be awarded in Individual Distributions in FY25. FY23 and FY24 amounts can also be awarded in FY25 along with FY25 amounts.
</text>
  </threadedComment>
  <threadedComment ref="K18" dT="2024-04-17T15:51:40.26" personId="{EE6EE9EF-C85F-4CF6-919A-AF2F9C74E82D}" id="{2C3B8647-10C8-49B8-870B-B57032617E5C}">
    <text xml:space="preserve">This number reflects the balance of funds available for Gold Standard Incentive from FY23 through FY25 combined. This is the maximum that can be awarded in Gold Standard Incentive in FY25. FY23 and FY24 amounts can also be awarded in FY25 along with FY25 amounts.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D1DC-9F68-4677-A667-DA25E46105B0}">
  <sheetPr>
    <pageSetUpPr fitToPage="1"/>
  </sheetPr>
  <dimension ref="B1:X37"/>
  <sheetViews>
    <sheetView showGridLines="0" tabSelected="1" topLeftCell="B1" zoomScale="90" zoomScaleNormal="90" workbookViewId="0">
      <selection activeCell="C10" sqref="C10:E10"/>
    </sheetView>
  </sheetViews>
  <sheetFormatPr defaultRowHeight="15" x14ac:dyDescent="0.25"/>
  <cols>
    <col min="1" max="1" width="3.85546875" customWidth="1"/>
    <col min="2" max="2" width="10.140625" customWidth="1"/>
    <col min="3" max="3" width="14.42578125" customWidth="1"/>
    <col min="4" max="4" width="18.85546875" hidden="1" customWidth="1"/>
    <col min="5" max="11" width="14.42578125" customWidth="1"/>
    <col min="13" max="13" width="10.85546875" bestFit="1" customWidth="1"/>
    <col min="14" max="14" width="11" bestFit="1" customWidth="1"/>
    <col min="15" max="15" width="12" bestFit="1" customWidth="1"/>
  </cols>
  <sheetData>
    <row r="1" spans="2:24" ht="4.5" customHeight="1" x14ac:dyDescent="0.25"/>
    <row r="2" spans="2:24" s="19" customFormat="1" ht="21" customHeight="1" x14ac:dyDescent="0.25">
      <c r="C2" s="125" t="s">
        <v>0</v>
      </c>
      <c r="D2" s="125"/>
      <c r="E2" s="202" t="s">
        <v>1</v>
      </c>
      <c r="F2" s="202"/>
      <c r="G2" s="202"/>
      <c r="H2" s="202"/>
      <c r="I2" s="202"/>
      <c r="J2" s="202"/>
      <c r="K2" s="202"/>
    </row>
    <row r="3" spans="2:24" s="19" customFormat="1" ht="21" customHeight="1" x14ac:dyDescent="0.25">
      <c r="C3" s="125" t="s">
        <v>2</v>
      </c>
      <c r="D3" s="125"/>
      <c r="E3" s="202" t="s">
        <v>3</v>
      </c>
      <c r="F3" s="202"/>
      <c r="G3" s="202"/>
      <c r="H3" s="202"/>
      <c r="I3" s="202"/>
      <c r="J3" s="202"/>
      <c r="K3" s="202"/>
    </row>
    <row r="4" spans="2:24" s="19" customFormat="1" ht="21" customHeight="1" x14ac:dyDescent="0.25">
      <c r="C4" s="125"/>
      <c r="D4" s="125"/>
      <c r="E4" s="202" t="s">
        <v>4</v>
      </c>
      <c r="F4" s="202"/>
      <c r="G4" s="202"/>
      <c r="H4" s="202"/>
      <c r="I4" s="202"/>
      <c r="J4" s="202"/>
      <c r="K4" s="126"/>
    </row>
    <row r="5" spans="2:24" ht="15" customHeight="1" x14ac:dyDescent="0.35">
      <c r="B5" s="203" t="s">
        <v>5</v>
      </c>
      <c r="C5" s="203"/>
      <c r="D5" s="203"/>
      <c r="E5" s="203"/>
      <c r="F5" s="203"/>
      <c r="G5" s="203"/>
      <c r="H5" s="203"/>
      <c r="I5" s="203"/>
      <c r="J5" s="203"/>
      <c r="K5" s="203"/>
    </row>
    <row r="6" spans="2:24" ht="28.5" customHeight="1" x14ac:dyDescent="0.25">
      <c r="C6" s="213" t="s">
        <v>6</v>
      </c>
      <c r="D6" s="213"/>
      <c r="E6" s="213"/>
      <c r="F6" s="213"/>
      <c r="G6" s="213"/>
      <c r="H6" s="213"/>
      <c r="I6" s="213"/>
      <c r="J6" s="213"/>
      <c r="K6" s="213"/>
    </row>
    <row r="7" spans="2:24" ht="40.5" customHeight="1" x14ac:dyDescent="0.25">
      <c r="C7" s="214" t="s">
        <v>7</v>
      </c>
      <c r="D7" s="214"/>
      <c r="E7" s="214"/>
      <c r="F7" s="214"/>
      <c r="G7" s="214"/>
      <c r="H7" s="214"/>
      <c r="I7" s="214"/>
      <c r="J7" s="214"/>
      <c r="K7" s="214"/>
    </row>
    <row r="8" spans="2:24" ht="16.5" customHeight="1" x14ac:dyDescent="0.25">
      <c r="C8" s="215" t="s">
        <v>391</v>
      </c>
      <c r="D8" s="216"/>
      <c r="E8" s="216"/>
      <c r="F8" s="101"/>
      <c r="G8" s="204" t="s">
        <v>8</v>
      </c>
      <c r="H8" s="205"/>
      <c r="I8" s="205"/>
      <c r="J8" s="205"/>
      <c r="K8" s="206"/>
    </row>
    <row r="9" spans="2:24" ht="14.25" customHeight="1" x14ac:dyDescent="0.25">
      <c r="C9" s="100"/>
      <c r="D9" s="100"/>
      <c r="E9" s="100"/>
      <c r="F9" s="101"/>
      <c r="G9" s="207" t="s">
        <v>9</v>
      </c>
      <c r="H9" s="208"/>
      <c r="I9" s="208"/>
      <c r="J9" s="208"/>
      <c r="K9" s="209"/>
    </row>
    <row r="10" spans="2:24" ht="51.75" customHeight="1" x14ac:dyDescent="0.25">
      <c r="B10" s="102" t="s">
        <v>10</v>
      </c>
      <c r="C10" s="199" t="s">
        <v>206</v>
      </c>
      <c r="D10" s="200" t="s">
        <v>12</v>
      </c>
      <c r="E10" s="201" t="s">
        <v>12</v>
      </c>
      <c r="F10" s="103"/>
      <c r="G10" s="210"/>
      <c r="H10" s="211"/>
      <c r="I10" s="211"/>
      <c r="J10" s="211"/>
      <c r="K10" s="212"/>
      <c r="X10" t="s">
        <v>2</v>
      </c>
    </row>
    <row r="11" spans="2:24" ht="9.75" customHeight="1" x14ac:dyDescent="0.25">
      <c r="C11" t="s">
        <v>387</v>
      </c>
    </row>
    <row r="12" spans="2:24" ht="16.5" customHeight="1" x14ac:dyDescent="0.25">
      <c r="C12" s="226" t="s">
        <v>13</v>
      </c>
      <c r="D12" s="227"/>
      <c r="E12" s="228"/>
      <c r="F12" s="226" t="s">
        <v>14</v>
      </c>
      <c r="G12" s="227"/>
      <c r="H12" s="227"/>
      <c r="I12" s="227"/>
      <c r="J12" s="227"/>
      <c r="K12" s="228"/>
    </row>
    <row r="13" spans="2:24" s="1" customFormat="1" ht="15.75" customHeight="1" x14ac:dyDescent="0.25">
      <c r="C13" s="223" t="s">
        <v>15</v>
      </c>
      <c r="D13" s="224"/>
      <c r="E13" s="225"/>
      <c r="F13" s="218" t="s">
        <v>16</v>
      </c>
      <c r="G13" s="218"/>
      <c r="H13" s="219"/>
      <c r="I13" s="220" t="s">
        <v>17</v>
      </c>
      <c r="J13" s="221"/>
      <c r="K13" s="222"/>
    </row>
    <row r="14" spans="2:24" s="4" customFormat="1" ht="29.25" customHeight="1" x14ac:dyDescent="0.25">
      <c r="B14" s="104" t="s">
        <v>18</v>
      </c>
      <c r="C14" s="105" t="s">
        <v>19</v>
      </c>
      <c r="D14" s="106" t="s">
        <v>20</v>
      </c>
      <c r="E14" s="107" t="s">
        <v>21</v>
      </c>
      <c r="F14" s="106" t="s">
        <v>22</v>
      </c>
      <c r="G14" s="108" t="s">
        <v>23</v>
      </c>
      <c r="H14" s="107" t="s">
        <v>24</v>
      </c>
      <c r="I14" s="104" t="s">
        <v>25</v>
      </c>
      <c r="J14" s="108" t="s">
        <v>23</v>
      </c>
      <c r="K14" s="107" t="s">
        <v>24</v>
      </c>
    </row>
    <row r="15" spans="2:24" x14ac:dyDescent="0.25">
      <c r="B15" s="109">
        <v>2022</v>
      </c>
      <c r="C15" s="110" t="str">
        <f>IFERROR(VLOOKUP($C$10,'Multiyear data for vlookup'!$A$1:$S$136,2,FALSE),"")</f>
        <v/>
      </c>
      <c r="D15" s="110"/>
      <c r="E15" s="110" t="str">
        <f>IFERROR(VLOOKUP($C$10,'Direct share used as match data'!$A$2:$S$135,2,FALSE),"")</f>
        <v/>
      </c>
      <c r="F15" s="110" t="str">
        <f>IFERROR(VLOOKUP($C$10,'Multiyear data for vlookup'!$A$1:$AL$136,21,FALSE),"")</f>
        <v/>
      </c>
      <c r="G15" s="110" t="str">
        <f>IFERROR(VLOOKUP($C$10,'Individual award multi year'!$A$1:$S$136,2,FALSE),"")</f>
        <v/>
      </c>
      <c r="H15" s="110" t="str">
        <f>IFERROR(F15-G15,"N/A")</f>
        <v>N/A</v>
      </c>
      <c r="I15" s="110" t="str">
        <f>IFERROR(VLOOKUP($C$10,'Multiyear data for vlookup'!$A$1:$BE$136,40,FALSE),"")</f>
        <v/>
      </c>
      <c r="J15" s="110" t="str">
        <f>IFERROR(VLOOKUP($C$10,'Approved gold standard amounts'!$A$3:$S$135,2,FALSE),"")</f>
        <v/>
      </c>
      <c r="K15" s="110" t="str">
        <f>IFERROR(I15-J15,"N/A")</f>
        <v>N/A</v>
      </c>
      <c r="Q15" s="4"/>
    </row>
    <row r="16" spans="2:24" x14ac:dyDescent="0.25">
      <c r="B16" s="111">
        <v>2023</v>
      </c>
      <c r="C16" s="112" t="str">
        <f>IFERROR(VLOOKUP($C$10,'Multiyear data for vlookup'!$A$1:$S$136,3,FALSE),"")</f>
        <v/>
      </c>
      <c r="D16" s="112"/>
      <c r="E16" s="112" t="str">
        <f>IFERROR(VLOOKUP($C$10,'Direct share used as match data'!$A$2:$S$135,3,FALSE),"")</f>
        <v/>
      </c>
      <c r="F16" s="112" t="str">
        <f>IFERROR(VLOOKUP($C$10,'Multiyear data for vlookup'!$A$1:$AL$136,22,FALSE),"")</f>
        <v/>
      </c>
      <c r="G16" s="112" t="str">
        <f>IFERROR(VLOOKUP($C$10,'Individual award multi year'!$A$1:$S$136,3,FALSE),"")</f>
        <v/>
      </c>
      <c r="H16" s="112" t="str">
        <f t="shared" ref="H16:H32" si="0">IFERROR(F16-G16,"N/A")</f>
        <v>N/A</v>
      </c>
      <c r="I16" s="112" t="str">
        <f>IFERROR(VLOOKUP($C$10,'Multiyear data for vlookup'!$A$1:$BE$136,41,FALSE),"")</f>
        <v/>
      </c>
      <c r="J16" s="112" t="str">
        <f>IFERROR(VLOOKUP($C$10,'Approved gold standard amounts'!$A$3:$S$135,3,FALSE),"")</f>
        <v/>
      </c>
      <c r="K16" s="112" t="str">
        <f t="shared" ref="K16:K32" si="1">IFERROR(I16-J16,"N/A")</f>
        <v>N/A</v>
      </c>
      <c r="Q16" s="4"/>
    </row>
    <row r="17" spans="2:17" x14ac:dyDescent="0.25">
      <c r="B17" s="111">
        <v>2024</v>
      </c>
      <c r="C17" s="112" t="str">
        <f>IFERROR(VLOOKUP($C$10,'Multiyear data for vlookup'!$A$1:$S$136,4,FALSE),"")</f>
        <v/>
      </c>
      <c r="D17" s="112"/>
      <c r="E17" s="112" t="str">
        <f>IFERROR(VLOOKUP($C$10,'Direct share used as match data'!$A$2:$S$135,4,FALSE),"")</f>
        <v/>
      </c>
      <c r="F17" s="112" t="str">
        <f>IFERROR(VLOOKUP($C$10,'Multiyear data for vlookup'!$A$1:$AL$136,23,FALSE),"")</f>
        <v/>
      </c>
      <c r="G17" s="112" t="str">
        <f>IFERROR(VLOOKUP($C$10,'Individual award multi year'!$A$1:$S$136,4,FALSE),"")</f>
        <v/>
      </c>
      <c r="H17" s="112" t="str">
        <f>IFERROR(F17+F16+F15-G17-G16-G15,"N/A")</f>
        <v>N/A</v>
      </c>
      <c r="I17" s="112" t="str">
        <f>IFERROR(VLOOKUP($C$10,'Multiyear data for vlookup'!$A$1:$BE$136,42,FALSE),"")</f>
        <v/>
      </c>
      <c r="J17" s="112" t="str">
        <f>IFERROR(VLOOKUP($C$10,'Approved gold standard amounts'!$A$3:$S$135,4,FALSE),"")</f>
        <v/>
      </c>
      <c r="K17" s="112" t="str">
        <f>IFERROR(I17+I16+I15-J17-J16-J15,"N/A")</f>
        <v>N/A</v>
      </c>
      <c r="O17" s="113"/>
    </row>
    <row r="18" spans="2:17" x14ac:dyDescent="0.25">
      <c r="B18" s="111">
        <v>2025</v>
      </c>
      <c r="C18" s="112" t="str">
        <f>IFERROR(VLOOKUP($C$10,'Multiyear data for vlookup'!$A$1:$S$136,5,FALSE),"")</f>
        <v/>
      </c>
      <c r="D18" s="112"/>
      <c r="E18" s="112" t="str">
        <f>IFERROR(VLOOKUP($C$10,'Direct share used as match data'!$A$2:$S$135,5,FALSE),"")</f>
        <v/>
      </c>
      <c r="F18" s="112" t="str">
        <f>IFERROR(VLOOKUP($C$10,'Multiyear data for vlookup'!$A$1:$AL$136,24,FALSE),"")</f>
        <v/>
      </c>
      <c r="G18" s="112" t="str">
        <f>IFERROR(VLOOKUP($C$10,'Individual award multi year'!$A$1:$S$136,5,FALSE),"")</f>
        <v/>
      </c>
      <c r="H18" s="150" t="str">
        <f>IFERROR(F18+F17+F16-G18-G17-G16,"N/A")</f>
        <v>N/A</v>
      </c>
      <c r="I18" s="112" t="str">
        <f>IFERROR(VLOOKUP($C$10,'Multiyear data for vlookup'!$A$1:$BE$136,43,FALSE),"")</f>
        <v/>
      </c>
      <c r="J18" s="112" t="str">
        <f>IFERROR(VLOOKUP($C$10,'Approved gold standard amounts'!$A$3:$S$135,5,FALSE),"")</f>
        <v/>
      </c>
      <c r="K18" s="151" t="str">
        <f>IFERROR(I18+I17+I16-J18-J17-J16,"N/A")</f>
        <v>N/A</v>
      </c>
      <c r="M18" s="113"/>
      <c r="N18" s="113"/>
      <c r="O18" s="113"/>
    </row>
    <row r="19" spans="2:17" x14ac:dyDescent="0.25">
      <c r="B19" s="111">
        <v>2026</v>
      </c>
      <c r="C19" s="112" t="str">
        <f>IFERROR(VLOOKUP($C$10,'Multiyear data for vlookup'!$A$1:$S$136,6,FALSE),"")</f>
        <v/>
      </c>
      <c r="D19" s="112"/>
      <c r="E19" s="112" t="str">
        <f>IFERROR(VLOOKUP($C$10,'Direct share used as match data'!$A$2:$S$135,6,FALSE),"")</f>
        <v/>
      </c>
      <c r="F19" s="112" t="str">
        <f>IFERROR(VLOOKUP($C$10,'Multiyear data for vlookup'!$A$1:$AL$136,25,FALSE),"")</f>
        <v/>
      </c>
      <c r="G19" s="112" t="str">
        <f>IFERROR(VLOOKUP($C$10,'Individual award multi year'!$A$1:$S$136,6,FALSE),"")</f>
        <v/>
      </c>
      <c r="H19" s="112" t="str">
        <f t="shared" si="0"/>
        <v>N/A</v>
      </c>
      <c r="I19" s="112" t="str">
        <f>IFERROR(VLOOKUP($C$10,'Multiyear data for vlookup'!$A$1:$BE$136,44,FALSE),"")</f>
        <v/>
      </c>
      <c r="J19" s="112" t="str">
        <f>IFERROR(VLOOKUP($C$10,'Approved gold standard amounts'!$A$3:$S$135,6,FALSE),"")</f>
        <v/>
      </c>
      <c r="K19" s="112" t="str">
        <f t="shared" si="1"/>
        <v>N/A</v>
      </c>
      <c r="M19" s="113"/>
      <c r="N19" s="113"/>
      <c r="O19" s="113"/>
    </row>
    <row r="20" spans="2:17" x14ac:dyDescent="0.25">
      <c r="B20" s="111">
        <v>2027</v>
      </c>
      <c r="C20" s="112" t="str">
        <f>IFERROR(VLOOKUP($C$10,'Multiyear data for vlookup'!$A$1:$S$136,7,FALSE),"")</f>
        <v/>
      </c>
      <c r="D20" s="112"/>
      <c r="E20" s="112" t="str">
        <f>IFERROR(VLOOKUP($C$10,'Direct share used as match data'!$A$2:$S$135,7,FALSE),"")</f>
        <v/>
      </c>
      <c r="F20" s="112" t="str">
        <f>IFERROR(VLOOKUP($C$10,'Multiyear data for vlookup'!$A$1:$AL$136,26,FALSE),"")</f>
        <v/>
      </c>
      <c r="G20" s="112" t="str">
        <f>IFERROR(VLOOKUP($C$10,'Individual award multi year'!$A$1:$S$136,7,FALSE),"")</f>
        <v/>
      </c>
      <c r="H20" s="112" t="str">
        <f t="shared" si="0"/>
        <v>N/A</v>
      </c>
      <c r="I20" s="112" t="str">
        <f>IFERROR(VLOOKUP($C$10,'Multiyear data for vlookup'!$A$1:$BE$136,45,FALSE),"")</f>
        <v/>
      </c>
      <c r="J20" s="112" t="str">
        <f>IFERROR(VLOOKUP($C$10,'Approved gold standard amounts'!$A$3:$S$135,7,FALSE),"")</f>
        <v/>
      </c>
      <c r="K20" s="112" t="str">
        <f t="shared" si="1"/>
        <v>N/A</v>
      </c>
      <c r="O20" s="113"/>
    </row>
    <row r="21" spans="2:17" x14ac:dyDescent="0.25">
      <c r="B21" s="111">
        <v>2028</v>
      </c>
      <c r="C21" s="112" t="str">
        <f>IFERROR(VLOOKUP($C$10,'Multiyear data for vlookup'!$A$1:$S$136,8,FALSE),"")</f>
        <v/>
      </c>
      <c r="D21" s="112"/>
      <c r="E21" s="112" t="str">
        <f>IFERROR(VLOOKUP($C$10,'Direct share used as match data'!$A$2:$S$135,8,FALSE),"")</f>
        <v/>
      </c>
      <c r="F21" s="112" t="str">
        <f>IFERROR(VLOOKUP($C$10,'Multiyear data for vlookup'!$A$1:$AL$136,27,FALSE),"")</f>
        <v/>
      </c>
      <c r="G21" s="112" t="str">
        <f>IFERROR(VLOOKUP($C$10,'Individual award multi year'!$A$1:$S$136,8,FALSE),"")</f>
        <v/>
      </c>
      <c r="H21" s="112" t="str">
        <f t="shared" si="0"/>
        <v>N/A</v>
      </c>
      <c r="I21" s="112" t="str">
        <f>IFERROR(VLOOKUP($C$10,'Multiyear data for vlookup'!$A$1:$BE$136,46,FALSE),"")</f>
        <v/>
      </c>
      <c r="J21" s="112" t="str">
        <f>IFERROR(VLOOKUP($C$10,'Approved gold standard amounts'!$A$3:$S$135,8,FALSE),"")</f>
        <v/>
      </c>
      <c r="K21" s="112" t="str">
        <f t="shared" si="1"/>
        <v>N/A</v>
      </c>
      <c r="M21" s="113"/>
      <c r="O21" s="113"/>
    </row>
    <row r="22" spans="2:17" x14ac:dyDescent="0.25">
      <c r="B22" s="111">
        <v>2029</v>
      </c>
      <c r="C22" s="112" t="str">
        <f>IFERROR(VLOOKUP($C$10,'Multiyear data for vlookup'!$A$1:$S$136,9,FALSE),"")</f>
        <v/>
      </c>
      <c r="D22" s="112"/>
      <c r="E22" s="112" t="str">
        <f>IFERROR(VLOOKUP($C$10,'Direct share used as match data'!$A$2:$S$135,9,FALSE),"")</f>
        <v/>
      </c>
      <c r="F22" s="112" t="str">
        <f>IFERROR(VLOOKUP($C$10,'Multiyear data for vlookup'!$A$1:$AL$136,28,FALSE),"")</f>
        <v/>
      </c>
      <c r="G22" s="112" t="str">
        <f>IFERROR(VLOOKUP($C$10,'Individual award multi year'!$A$1:$S$136,9,FALSE),"")</f>
        <v/>
      </c>
      <c r="H22" s="112" t="str">
        <f t="shared" si="0"/>
        <v>N/A</v>
      </c>
      <c r="I22" s="112" t="str">
        <f>IFERROR(VLOOKUP($C$10,'Multiyear data for vlookup'!$A$1:$BE$136,47,FALSE),"")</f>
        <v/>
      </c>
      <c r="J22" s="112" t="str">
        <f>IFERROR(VLOOKUP($C$10,'Approved gold standard amounts'!$A$3:$S$135,9,FALSE),"")</f>
        <v/>
      </c>
      <c r="K22" s="112" t="str">
        <f t="shared" si="1"/>
        <v>N/A</v>
      </c>
    </row>
    <row r="23" spans="2:17" x14ac:dyDescent="0.25">
      <c r="B23" s="111">
        <v>2030</v>
      </c>
      <c r="C23" s="112" t="str">
        <f>IFERROR(VLOOKUP($C$10,'Multiyear data for vlookup'!$A$1:$S$136,10,FALSE),"")</f>
        <v/>
      </c>
      <c r="D23" s="112"/>
      <c r="E23" s="112" t="str">
        <f>IFERROR(VLOOKUP($C$10,'Direct share used as match data'!$A$2:$S$135,10,FALSE),"")</f>
        <v/>
      </c>
      <c r="F23" s="112" t="str">
        <f>IFERROR(VLOOKUP($C$10,'Multiyear data for vlookup'!$A$1:$AL$136,29,FALSE),"")</f>
        <v/>
      </c>
      <c r="G23" s="112" t="str">
        <f>IFERROR(VLOOKUP($C$10,'Individual award multi year'!$A$1:$S$136,10,FALSE),"")</f>
        <v/>
      </c>
      <c r="H23" s="112" t="str">
        <f t="shared" si="0"/>
        <v>N/A</v>
      </c>
      <c r="I23" s="112" t="str">
        <f>IFERROR(VLOOKUP($C$10,'Multiyear data for vlookup'!$A$1:$BE$136,48,FALSE),"")</f>
        <v/>
      </c>
      <c r="J23" s="112" t="str">
        <f>IFERROR(VLOOKUP($C$10,'Approved gold standard amounts'!$A$3:$S$135,10,FALSE),"")</f>
        <v/>
      </c>
      <c r="K23" s="112" t="str">
        <f t="shared" si="1"/>
        <v>N/A</v>
      </c>
      <c r="O23" s="113"/>
    </row>
    <row r="24" spans="2:17" x14ac:dyDescent="0.25">
      <c r="B24" s="111">
        <v>2031</v>
      </c>
      <c r="C24" s="112" t="str">
        <f>IFERROR(VLOOKUP($C$10,'Multiyear data for vlookup'!$A$1:$S$136,11,FALSE),"")</f>
        <v/>
      </c>
      <c r="D24" s="112"/>
      <c r="E24" s="112" t="str">
        <f>IFERROR(VLOOKUP($C$10,'Direct share used as match data'!$A$2:$S$135,11,FALSE),"")</f>
        <v/>
      </c>
      <c r="F24" s="112" t="str">
        <f>IFERROR(VLOOKUP($C$10,'Multiyear data for vlookup'!$A$1:$AL$136,30,FALSE),"")</f>
        <v/>
      </c>
      <c r="G24" s="112" t="str">
        <f>IFERROR(VLOOKUP($C$10,'Individual award multi year'!$A$1:$S$136,11,FALSE),"")</f>
        <v/>
      </c>
      <c r="H24" s="112" t="str">
        <f t="shared" si="0"/>
        <v>N/A</v>
      </c>
      <c r="I24" s="112" t="str">
        <f>IFERROR(VLOOKUP($C$10,'Multiyear data for vlookup'!$A$1:$BE$136,49,FALSE),"")</f>
        <v/>
      </c>
      <c r="J24" s="112" t="str">
        <f>IFERROR(VLOOKUP($C$10,'Approved gold standard amounts'!$A$3:$S$135,11,FALSE),"")</f>
        <v/>
      </c>
      <c r="K24" s="112" t="str">
        <f t="shared" si="1"/>
        <v>N/A</v>
      </c>
    </row>
    <row r="25" spans="2:17" x14ac:dyDescent="0.25">
      <c r="B25" s="111">
        <v>2032</v>
      </c>
      <c r="C25" s="112" t="str">
        <f>IFERROR(VLOOKUP($C$10,'Multiyear data for vlookup'!$A$1:$S$136,12,FALSE),"")</f>
        <v/>
      </c>
      <c r="D25" s="112"/>
      <c r="E25" s="112" t="str">
        <f>IFERROR(VLOOKUP($C$10,'Direct share used as match data'!$A$2:$S$135,12,FALSE),"")</f>
        <v/>
      </c>
      <c r="F25" s="112" t="str">
        <f>IFERROR(VLOOKUP($C$10,'Multiyear data for vlookup'!$A$1:$AL$136,31,FALSE),"")</f>
        <v/>
      </c>
      <c r="G25" s="112" t="str">
        <f>IFERROR(VLOOKUP($C$10,'Individual award multi year'!$A$1:$S$136,12,FALSE),"")</f>
        <v/>
      </c>
      <c r="H25" s="112" t="str">
        <f t="shared" si="0"/>
        <v>N/A</v>
      </c>
      <c r="I25" s="112" t="str">
        <f>IFERROR(VLOOKUP($C$10,'Multiyear data for vlookup'!$A$1:$BE$136,50,FALSE),"")</f>
        <v/>
      </c>
      <c r="J25" s="112" t="str">
        <f>IFERROR(VLOOKUP($C$10,'Approved gold standard amounts'!$A$3:$S$135,12,FALSE),"")</f>
        <v/>
      </c>
      <c r="K25" s="112" t="str">
        <f t="shared" si="1"/>
        <v>N/A</v>
      </c>
      <c r="Q25" s="113"/>
    </row>
    <row r="26" spans="2:17" x14ac:dyDescent="0.25">
      <c r="B26" s="111">
        <v>2033</v>
      </c>
      <c r="C26" s="112" t="str">
        <f>IFERROR(VLOOKUP($C$10,'Multiyear data for vlookup'!$A$1:$S$136,13,FALSE),"")</f>
        <v/>
      </c>
      <c r="D26" s="112"/>
      <c r="E26" s="112" t="str">
        <f>IFERROR(VLOOKUP($C$10,'Direct share used as match data'!$A$2:$S$135,13,FALSE),"")</f>
        <v/>
      </c>
      <c r="F26" s="112" t="str">
        <f>IFERROR(VLOOKUP($C$10,'Multiyear data for vlookup'!$A$1:$AL$136,32,FALSE),"")</f>
        <v/>
      </c>
      <c r="G26" s="112" t="str">
        <f>IFERROR(VLOOKUP($C$10,'Individual award multi year'!$A$1:$S$136,13,FALSE),"")</f>
        <v/>
      </c>
      <c r="H26" s="112" t="str">
        <f t="shared" si="0"/>
        <v>N/A</v>
      </c>
      <c r="I26" s="112" t="str">
        <f>IFERROR(VLOOKUP($C$10,'Multiyear data for vlookup'!$A$1:$BE$136,51,FALSE),"")</f>
        <v/>
      </c>
      <c r="J26" s="112" t="str">
        <f>IFERROR(VLOOKUP($C$10,'Approved gold standard amounts'!$A$3:$S$135,13,FALSE),"")</f>
        <v/>
      </c>
      <c r="K26" s="112" t="str">
        <f t="shared" si="1"/>
        <v>N/A</v>
      </c>
    </row>
    <row r="27" spans="2:17" x14ac:dyDescent="0.25">
      <c r="B27" s="111">
        <v>2034</v>
      </c>
      <c r="C27" s="112" t="str">
        <f>IFERROR(VLOOKUP($C$10,'Multiyear data for vlookup'!$A$1:$S$136,14,FALSE),"")</f>
        <v/>
      </c>
      <c r="D27" s="112"/>
      <c r="E27" s="112" t="str">
        <f>IFERROR(VLOOKUP($C$10,'Direct share used as match data'!$A$2:$S$135,14,FALSE),"")</f>
        <v/>
      </c>
      <c r="F27" s="112" t="str">
        <f>IFERROR(VLOOKUP($C$10,'Multiyear data for vlookup'!$A$1:$AL$136,33,FALSE),"")</f>
        <v/>
      </c>
      <c r="G27" s="112" t="str">
        <f>IFERROR(VLOOKUP($C$10,'Individual award multi year'!$A$1:$S$136,14,FALSE),"")</f>
        <v/>
      </c>
      <c r="H27" s="112" t="str">
        <f t="shared" si="0"/>
        <v>N/A</v>
      </c>
      <c r="I27" s="112" t="str">
        <f>IFERROR(VLOOKUP($C$10,'Multiyear data for vlookup'!$A$1:$BE$136,52,FALSE),"")</f>
        <v/>
      </c>
      <c r="J27" s="112" t="str">
        <f>IFERROR(VLOOKUP($C$10,'Approved gold standard amounts'!$A$3:$S$135,14,FALSE),"")</f>
        <v/>
      </c>
      <c r="K27" s="112" t="str">
        <f t="shared" si="1"/>
        <v>N/A</v>
      </c>
    </row>
    <row r="28" spans="2:17" x14ac:dyDescent="0.25">
      <c r="B28" s="111">
        <v>2035</v>
      </c>
      <c r="C28" s="112" t="str">
        <f>IFERROR(VLOOKUP($C$10,'Multiyear data for vlookup'!$A$1:$S$136,15,FALSE),"")</f>
        <v/>
      </c>
      <c r="D28" s="112"/>
      <c r="E28" s="112" t="str">
        <f>IFERROR(VLOOKUP($C$10,'Direct share used as match data'!$A$2:$S$135,15,FALSE),"")</f>
        <v/>
      </c>
      <c r="F28" s="112" t="str">
        <f>IFERROR(VLOOKUP($C$10,'Multiyear data for vlookup'!$A$1:$AL$136,34,FALSE),"")</f>
        <v/>
      </c>
      <c r="G28" s="112" t="str">
        <f>IFERROR(VLOOKUP($C$10,'Individual award multi year'!$A$1:$S$136,15,FALSE),"")</f>
        <v/>
      </c>
      <c r="H28" s="112" t="str">
        <f t="shared" si="0"/>
        <v>N/A</v>
      </c>
      <c r="I28" s="112" t="str">
        <f>IFERROR(VLOOKUP($C$10,'Multiyear data for vlookup'!$A$1:$BE$136,53,FALSE),"")</f>
        <v/>
      </c>
      <c r="J28" s="112" t="str">
        <f>IFERROR(VLOOKUP($C$10,'Approved gold standard amounts'!$A$3:$S$135,15,FALSE),"")</f>
        <v/>
      </c>
      <c r="K28" s="112" t="str">
        <f t="shared" si="1"/>
        <v>N/A</v>
      </c>
    </row>
    <row r="29" spans="2:17" x14ac:dyDescent="0.25">
      <c r="B29" s="111">
        <v>2036</v>
      </c>
      <c r="C29" s="112" t="str">
        <f>IFERROR(VLOOKUP($C$10,'Multiyear data for vlookup'!$A$1:$S$136,16,FALSE),"")</f>
        <v/>
      </c>
      <c r="D29" s="112"/>
      <c r="E29" s="112" t="str">
        <f>IFERROR(VLOOKUP($C$10,'Direct share used as match data'!$A$2:$S$135,16,FALSE),"")</f>
        <v/>
      </c>
      <c r="F29" s="112" t="str">
        <f>IFERROR(VLOOKUP($C$10,'Multiyear data for vlookup'!$A$1:$AL$136,35,FALSE),"")</f>
        <v/>
      </c>
      <c r="G29" s="112" t="str">
        <f>IFERROR(VLOOKUP($C$10,'Individual award multi year'!$A$1:$S$136,16,FALSE),"")</f>
        <v/>
      </c>
      <c r="H29" s="112" t="str">
        <f t="shared" si="0"/>
        <v>N/A</v>
      </c>
      <c r="I29" s="112" t="str">
        <f>IFERROR(VLOOKUP($C$10,'Multiyear data for vlookup'!$A$1:$BE$136,54,FALSE),"")</f>
        <v/>
      </c>
      <c r="J29" s="112" t="str">
        <f>IFERROR(VLOOKUP($C$10,'Approved gold standard amounts'!$A$3:$S$135,16,FALSE),"")</f>
        <v/>
      </c>
      <c r="K29" s="112" t="str">
        <f t="shared" si="1"/>
        <v>N/A</v>
      </c>
    </row>
    <row r="30" spans="2:17" x14ac:dyDescent="0.25">
      <c r="B30" s="111">
        <v>2037</v>
      </c>
      <c r="C30" s="112" t="str">
        <f>IFERROR(VLOOKUP($C$10,'Multiyear data for vlookup'!$A$1:$S$136,17,FALSE),"")</f>
        <v/>
      </c>
      <c r="D30" s="112"/>
      <c r="E30" s="112" t="str">
        <f>IFERROR(VLOOKUP($C$10,'Direct share used as match data'!$A$2:$S$135,17,FALSE),"")</f>
        <v/>
      </c>
      <c r="F30" s="112" t="str">
        <f>IFERROR(VLOOKUP($C$10,'Multiyear data for vlookup'!$A$1:$AL$136,36,FALSE),"")</f>
        <v/>
      </c>
      <c r="G30" s="112" t="str">
        <f>IFERROR(VLOOKUP($C$10,'Individual award multi year'!$A$1:$S$136,17,FALSE),"")</f>
        <v/>
      </c>
      <c r="H30" s="112" t="str">
        <f t="shared" si="0"/>
        <v>N/A</v>
      </c>
      <c r="I30" s="112" t="str">
        <f>IFERROR(VLOOKUP($C$10,'Multiyear data for vlookup'!$A$1:$BE$136,55,FALSE),"")</f>
        <v/>
      </c>
      <c r="J30" s="112" t="str">
        <f>IFERROR(VLOOKUP($C$10,'Approved gold standard amounts'!$A$3:$S$135,17,FALSE),"")</f>
        <v/>
      </c>
      <c r="K30" s="112" t="str">
        <f t="shared" si="1"/>
        <v>N/A</v>
      </c>
    </row>
    <row r="31" spans="2:17" x14ac:dyDescent="0.25">
      <c r="B31" s="111">
        <v>2038</v>
      </c>
      <c r="C31" s="112" t="str">
        <f>IFERROR(VLOOKUP($C$10,'Multiyear data for vlookup'!$A$1:$S$136,18,FALSE),"")</f>
        <v/>
      </c>
      <c r="D31" s="112"/>
      <c r="E31" s="112" t="str">
        <f>IFERROR(VLOOKUP($C$10,'Direct share used as match data'!$A$2:$S$135,18,FALSE),"")</f>
        <v/>
      </c>
      <c r="F31" s="112" t="str">
        <f>IFERROR(VLOOKUP($C$10,'Multiyear data for vlookup'!$A$1:$AL$136,37,FALSE),"")</f>
        <v/>
      </c>
      <c r="G31" s="112" t="str">
        <f>IFERROR(VLOOKUP($C$10,'Individual award multi year'!$A$1:$S$136,18,FALSE),"")</f>
        <v/>
      </c>
      <c r="H31" s="112" t="str">
        <f t="shared" si="0"/>
        <v>N/A</v>
      </c>
      <c r="I31" s="112" t="str">
        <f>IFERROR(VLOOKUP($C$10,'Multiyear data for vlookup'!$A$1:$BE$136,56,FALSE),"")</f>
        <v/>
      </c>
      <c r="J31" s="112" t="str">
        <f>IFERROR(VLOOKUP($C$10,'Approved gold standard amounts'!$A$3:$S$135,18,FALSE),"")</f>
        <v/>
      </c>
      <c r="K31" s="112" t="str">
        <f t="shared" si="1"/>
        <v>N/A</v>
      </c>
    </row>
    <row r="32" spans="2:17" x14ac:dyDescent="0.25">
      <c r="B32" s="114">
        <v>2039</v>
      </c>
      <c r="C32" s="115" t="str">
        <f>IFERROR(VLOOKUP($C$10,'Multiyear data for vlookup'!$A$1:$S$136,19,FALSE),"")</f>
        <v/>
      </c>
      <c r="D32" s="115"/>
      <c r="E32" s="115" t="str">
        <f>IFERROR(VLOOKUP($C$10,'Direct share used as match data'!$A$2:$S$135,19,FALSE),"")</f>
        <v/>
      </c>
      <c r="F32" s="115" t="str">
        <f>IFERROR(VLOOKUP($C$10,'Multiyear data for vlookup'!$A$1:$AL$136,38,FALSE),"")</f>
        <v/>
      </c>
      <c r="G32" s="115" t="str">
        <f>IFERROR(VLOOKUP($C$10,'Individual award multi year'!$A$1:$S$136,19,FALSE),"")</f>
        <v/>
      </c>
      <c r="H32" s="115" t="str">
        <f t="shared" si="0"/>
        <v>N/A</v>
      </c>
      <c r="I32" s="115" t="str">
        <f>IFERROR(VLOOKUP($C$10,'Multiyear data for vlookup'!$A$1:$BE$136,57,FALSE),"")</f>
        <v/>
      </c>
      <c r="J32" s="115" t="str">
        <f>IFERROR(VLOOKUP($C$10,'Approved gold standard amounts'!$A$3:$S$135,19,FALSE),"")</f>
        <v/>
      </c>
      <c r="K32" s="115" t="str">
        <f t="shared" si="1"/>
        <v>N/A</v>
      </c>
    </row>
    <row r="33" spans="2:15" ht="15.75" thickBot="1" x14ac:dyDescent="0.3">
      <c r="B33" s="116" t="s">
        <v>26</v>
      </c>
      <c r="C33" s="117">
        <f>SUM(C15:C32)</f>
        <v>0</v>
      </c>
      <c r="D33" s="118">
        <f t="shared" ref="D33:E33" si="2">SUM(D15:D32)</f>
        <v>0</v>
      </c>
      <c r="E33" s="119">
        <f t="shared" si="2"/>
        <v>0</v>
      </c>
      <c r="F33" s="118">
        <f>SUM(F15:F32)</f>
        <v>0</v>
      </c>
      <c r="G33" s="120">
        <f>SUM(G15:G32)</f>
        <v>0</v>
      </c>
      <c r="H33" s="120">
        <f>F33-G33</f>
        <v>0</v>
      </c>
      <c r="I33" s="121">
        <f>SUM(I15:I32)</f>
        <v>0</v>
      </c>
      <c r="J33" s="122">
        <f>SUM(J15:J32)</f>
        <v>0</v>
      </c>
      <c r="K33" s="123">
        <f>I33-J33</f>
        <v>0</v>
      </c>
      <c r="M33" s="113"/>
      <c r="O33" s="113"/>
    </row>
    <row r="34" spans="2:15" ht="62.25" customHeight="1" thickTop="1" x14ac:dyDescent="0.25">
      <c r="B34" s="217" t="s">
        <v>27</v>
      </c>
      <c r="C34" s="217"/>
      <c r="D34" s="217"/>
      <c r="E34" s="217"/>
      <c r="F34" s="217"/>
      <c r="G34" s="217"/>
      <c r="H34" s="217"/>
      <c r="I34" s="217"/>
      <c r="J34" s="217"/>
      <c r="K34" s="217"/>
      <c r="O34" s="113"/>
    </row>
    <row r="35" spans="2:15" ht="15.75" x14ac:dyDescent="0.25">
      <c r="B35" s="191" t="s">
        <v>385</v>
      </c>
      <c r="C35" s="191"/>
      <c r="D35" s="191"/>
      <c r="E35" s="191"/>
      <c r="F35" s="191"/>
      <c r="G35" s="191"/>
      <c r="H35" s="191"/>
      <c r="I35" s="191"/>
      <c r="J35" s="191"/>
      <c r="K35" s="191"/>
    </row>
    <row r="36" spans="2:15" ht="15.75" x14ac:dyDescent="0.25">
      <c r="B36" s="191" t="s">
        <v>386</v>
      </c>
      <c r="C36" s="191"/>
      <c r="D36" s="191"/>
      <c r="E36" s="191"/>
      <c r="F36" s="191"/>
      <c r="G36" s="191"/>
      <c r="H36" s="191"/>
      <c r="I36" s="191"/>
      <c r="J36" s="191"/>
      <c r="K36" s="191"/>
    </row>
    <row r="37" spans="2:15" ht="15.75" x14ac:dyDescent="0.25">
      <c r="B37" s="191" t="s">
        <v>384</v>
      </c>
      <c r="C37" s="191"/>
      <c r="D37" s="191"/>
      <c r="E37" s="191"/>
      <c r="F37" s="191"/>
      <c r="G37" s="191"/>
      <c r="H37" s="191"/>
      <c r="I37" s="191"/>
      <c r="J37" s="191"/>
      <c r="K37" s="191"/>
    </row>
  </sheetData>
  <sheetProtection algorithmName="SHA-512" hashValue="+dDVgO4nEXPir9g+VSlLE3jvLcrXCtcENdUObks50pkKSaSdQ0pH4T7UwFHWehx7T38MulZ8LF6wHuJsM8/jOg==" saltValue="6qEIx8LFs5LgngL7iIWGhg==" spinCount="100000" sheet="1" objects="1" scenarios="1"/>
  <mergeCells count="16">
    <mergeCell ref="B34:K34"/>
    <mergeCell ref="F13:H13"/>
    <mergeCell ref="I13:K13"/>
    <mergeCell ref="C13:E13"/>
    <mergeCell ref="C12:E12"/>
    <mergeCell ref="F12:K12"/>
    <mergeCell ref="C10:E10"/>
    <mergeCell ref="E2:K2"/>
    <mergeCell ref="E3:K3"/>
    <mergeCell ref="E4:J4"/>
    <mergeCell ref="B5:K5"/>
    <mergeCell ref="G8:K8"/>
    <mergeCell ref="G9:K10"/>
    <mergeCell ref="C6:K6"/>
    <mergeCell ref="C7:K7"/>
    <mergeCell ref="C8:E8"/>
  </mergeCells>
  <conditionalFormatting sqref="C15:G32 I15:J32">
    <cfRule type="cellIs" dxfId="16" priority="2" operator="lessThan">
      <formula>0</formula>
    </cfRule>
  </conditionalFormatting>
  <conditionalFormatting sqref="E33">
    <cfRule type="cellIs" dxfId="15" priority="1" operator="lessThan">
      <formula>0</formula>
    </cfRule>
  </conditionalFormatting>
  <pageMargins left="0.2" right="0.7" top="0.25" bottom="0.25" header="0.3" footer="0.3"/>
  <pageSetup orientation="landscape" horizontalDpi="1200" verticalDpi="1200" r:id="rId1"/>
  <ignoredErrors>
    <ignoredError sqref="H33"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7B8F6B0-989B-4726-9D2E-A80D8C8AB98B}">
          <x14:formula1>
            <xm:f>'Local dist eligible'!$M$3:$M$136</xm:f>
          </x14:formula1>
          <xm:sqref>C10:E10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06D5-6BC4-4453-9B76-79C5AEC340E4}">
  <sheetPr>
    <pageSetUpPr fitToPage="1"/>
  </sheetPr>
  <dimension ref="A1:AB41"/>
  <sheetViews>
    <sheetView showGridLines="0" zoomScale="80" zoomScaleNormal="80" workbookViewId="0">
      <selection activeCell="W9" sqref="W9"/>
    </sheetView>
  </sheetViews>
  <sheetFormatPr defaultRowHeight="15" x14ac:dyDescent="0.25"/>
  <cols>
    <col min="1" max="1" width="2.42578125" customWidth="1"/>
    <col min="2" max="2" width="21.85546875" customWidth="1"/>
    <col min="3" max="3" width="30.7109375" customWidth="1"/>
    <col min="4" max="4" width="2.7109375" customWidth="1"/>
    <col min="5" max="5" width="30.7109375" customWidth="1"/>
    <col min="6" max="6" width="2.7109375" customWidth="1"/>
    <col min="7" max="7" width="34.42578125" customWidth="1"/>
    <col min="8" max="8" width="22.7109375" hidden="1" customWidth="1"/>
    <col min="9" max="9" width="2.7109375" hidden="1" customWidth="1"/>
    <col min="10" max="10" width="22" hidden="1" customWidth="1"/>
    <col min="11" max="11" width="24" hidden="1" customWidth="1"/>
    <col min="12" max="12" width="20.7109375" hidden="1" customWidth="1"/>
    <col min="13" max="13" width="29.140625" hidden="1" customWidth="1"/>
    <col min="14" max="14" width="24" hidden="1" customWidth="1"/>
    <col min="15" max="15" width="2.7109375" hidden="1" customWidth="1"/>
    <col min="16" max="16" width="2.7109375" customWidth="1"/>
    <col min="17" max="17" width="30.7109375" customWidth="1"/>
    <col min="18" max="18" width="2.7109375" customWidth="1"/>
    <col min="19" max="19" width="30.7109375" customWidth="1"/>
    <col min="20" max="20" width="2.7109375" customWidth="1"/>
    <col min="21" max="21" width="30.7109375" customWidth="1"/>
    <col min="22" max="22" width="2.7109375" customWidth="1"/>
    <col min="23" max="23" width="30.7109375" customWidth="1"/>
    <col min="24" max="24" width="2.7109375" customWidth="1"/>
    <col min="25" max="25" width="30.7109375" customWidth="1"/>
    <col min="26" max="26" width="2.7109375" customWidth="1"/>
    <col min="27" max="27" width="30.7109375" customWidth="1"/>
  </cols>
  <sheetData>
    <row r="1" spans="1:27" ht="5.25" customHeight="1" x14ac:dyDescent="0.25">
      <c r="C1" s="245" t="s">
        <v>28</v>
      </c>
      <c r="D1" s="245"/>
      <c r="E1" s="245"/>
      <c r="F1" s="245"/>
      <c r="G1" s="245"/>
    </row>
    <row r="2" spans="1:27" ht="21.75" customHeight="1" x14ac:dyDescent="0.5">
      <c r="C2" s="245"/>
      <c r="D2" s="245"/>
      <c r="E2" s="245"/>
      <c r="F2" s="245"/>
      <c r="G2" s="245"/>
      <c r="H2" s="87"/>
      <c r="I2" s="87"/>
      <c r="J2" s="87"/>
      <c r="K2" s="87"/>
      <c r="L2" s="87"/>
      <c r="M2" s="87"/>
      <c r="N2" s="87"/>
      <c r="O2" s="87"/>
      <c r="P2" s="87"/>
    </row>
    <row r="3" spans="1:27" ht="21.75" customHeight="1" x14ac:dyDescent="0.5">
      <c r="C3" s="245" t="s">
        <v>29</v>
      </c>
      <c r="D3" s="245"/>
      <c r="E3" s="245"/>
      <c r="F3" s="245"/>
      <c r="G3" s="245"/>
      <c r="H3" s="87"/>
      <c r="I3" s="87"/>
      <c r="J3" s="87"/>
      <c r="K3" s="87"/>
      <c r="L3" s="87"/>
      <c r="M3" s="87"/>
      <c r="N3" s="87"/>
      <c r="O3" s="87"/>
      <c r="P3" s="87"/>
    </row>
    <row r="4" spans="1:27" ht="21.75" customHeight="1" x14ac:dyDescent="0.5">
      <c r="C4" s="245" t="s">
        <v>30</v>
      </c>
      <c r="D4" s="245"/>
      <c r="E4" s="245"/>
      <c r="F4" s="245"/>
      <c r="G4" s="245"/>
      <c r="H4" s="87"/>
      <c r="I4" s="87"/>
      <c r="J4" s="87"/>
      <c r="K4" s="87"/>
      <c r="L4" s="87"/>
      <c r="M4" s="87"/>
      <c r="N4" s="87"/>
      <c r="O4" s="87"/>
      <c r="P4" s="87"/>
    </row>
    <row r="5" spans="1:27" ht="15" customHeight="1" x14ac:dyDescent="0.35">
      <c r="A5" t="s">
        <v>31</v>
      </c>
      <c r="C5" s="203" t="s">
        <v>32</v>
      </c>
      <c r="D5" s="203"/>
      <c r="E5" s="203"/>
      <c r="F5" s="203"/>
      <c r="G5" s="203"/>
    </row>
    <row r="6" spans="1:27" ht="27" customHeight="1" x14ac:dyDescent="0.25">
      <c r="C6" s="213" t="s">
        <v>33</v>
      </c>
      <c r="D6" s="213"/>
      <c r="E6" s="213"/>
      <c r="F6" s="213"/>
      <c r="G6" s="213"/>
    </row>
    <row r="7" spans="1:27" ht="51" customHeight="1" x14ac:dyDescent="0.25">
      <c r="C7" s="244" t="s">
        <v>34</v>
      </c>
      <c r="D7" s="244"/>
      <c r="E7" s="244"/>
      <c r="F7" s="244"/>
      <c r="G7" s="244"/>
    </row>
    <row r="8" spans="1:27" ht="13.5" customHeight="1" x14ac:dyDescent="0.25">
      <c r="C8" s="160"/>
      <c r="D8" s="160"/>
      <c r="E8" s="160"/>
      <c r="F8" s="160"/>
      <c r="G8" s="160"/>
    </row>
    <row r="9" spans="1:27" ht="20.25" customHeight="1" x14ac:dyDescent="0.25">
      <c r="C9" s="90" t="s">
        <v>391</v>
      </c>
      <c r="E9" s="229" t="s">
        <v>35</v>
      </c>
      <c r="F9" s="230"/>
      <c r="G9" s="231"/>
      <c r="H9" s="99"/>
      <c r="I9" s="99"/>
      <c r="J9" s="99"/>
      <c r="K9" s="99"/>
      <c r="L9" s="99"/>
      <c r="M9" s="99"/>
      <c r="N9" s="99"/>
      <c r="O9" s="99"/>
      <c r="P9" s="142"/>
    </row>
    <row r="10" spans="1:27" ht="39" customHeight="1" x14ac:dyDescent="0.25">
      <c r="B10" s="94" t="s">
        <v>10</v>
      </c>
      <c r="C10" s="124" t="s">
        <v>123</v>
      </c>
      <c r="E10" s="232" t="s">
        <v>37</v>
      </c>
      <c r="F10" s="233"/>
      <c r="G10" s="234"/>
      <c r="H10" s="97"/>
      <c r="I10" s="97"/>
      <c r="J10" s="97"/>
      <c r="K10" s="97"/>
      <c r="L10" s="97"/>
      <c r="M10" s="97"/>
      <c r="N10" s="97"/>
      <c r="O10" s="97"/>
      <c r="P10" s="96"/>
      <c r="S10" s="174"/>
    </row>
    <row r="11" spans="1:27" ht="6.75" customHeight="1" x14ac:dyDescent="0.25">
      <c r="E11" s="235"/>
      <c r="F11" s="236"/>
      <c r="G11" s="237"/>
      <c r="H11" s="96"/>
      <c r="I11" s="96"/>
      <c r="J11" s="96"/>
      <c r="K11" s="96"/>
      <c r="L11" s="96"/>
      <c r="M11" s="96"/>
      <c r="N11" s="96"/>
      <c r="O11" s="96"/>
      <c r="P11" s="96"/>
    </row>
    <row r="12" spans="1:27" ht="30" customHeight="1" x14ac:dyDescent="0.25">
      <c r="B12" s="94" t="s">
        <v>38</v>
      </c>
      <c r="C12" s="95">
        <f>IFERROR(VLOOKUP(C10,'table for settlement look up'!A2:B134,2,FALSE),"N/A")</f>
        <v>3.5300353003529998E-3</v>
      </c>
      <c r="D12" s="88"/>
      <c r="E12" s="238"/>
      <c r="F12" s="239"/>
      <c r="G12" s="240"/>
      <c r="H12" s="98"/>
      <c r="I12" s="98"/>
      <c r="J12" s="98"/>
      <c r="K12" s="98"/>
      <c r="L12" s="98"/>
      <c r="M12" s="98"/>
      <c r="N12" s="98"/>
      <c r="O12" s="98"/>
      <c r="P12" s="96"/>
    </row>
    <row r="13" spans="1:27" ht="9.75" customHeight="1" x14ac:dyDescent="0.3">
      <c r="D13" s="89"/>
      <c r="H13" s="86"/>
      <c r="I13" s="86"/>
      <c r="K13" s="86"/>
      <c r="L13" s="86"/>
      <c r="M13" s="86"/>
    </row>
    <row r="14" spans="1:27" ht="15.75" customHeight="1" x14ac:dyDescent="0.25">
      <c r="C14" s="226" t="s">
        <v>13</v>
      </c>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1:27" s="1" customFormat="1" ht="15.75" customHeight="1" x14ac:dyDescent="0.25">
      <c r="C15" s="241" t="s">
        <v>39</v>
      </c>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3"/>
    </row>
    <row r="16" spans="1:27" s="4" customFormat="1" ht="18.75" customHeight="1" x14ac:dyDescent="0.3">
      <c r="B16" s="127" t="s">
        <v>18</v>
      </c>
      <c r="C16" s="143" t="s">
        <v>40</v>
      </c>
      <c r="D16" s="143"/>
      <c r="E16" s="143" t="s">
        <v>41</v>
      </c>
      <c r="F16" s="143"/>
      <c r="G16" s="143" t="s">
        <v>42</v>
      </c>
      <c r="H16" s="144" t="s">
        <v>21</v>
      </c>
      <c r="I16" s="144"/>
      <c r="J16" s="144" t="s">
        <v>22</v>
      </c>
      <c r="K16" s="144" t="s">
        <v>23</v>
      </c>
      <c r="L16" s="144" t="s">
        <v>24</v>
      </c>
      <c r="M16" s="144" t="s">
        <v>43</v>
      </c>
      <c r="N16" s="144" t="s">
        <v>23</v>
      </c>
      <c r="O16" s="144" t="s">
        <v>24</v>
      </c>
      <c r="P16" s="144"/>
      <c r="Q16" s="197" t="s">
        <v>44</v>
      </c>
      <c r="R16" s="197"/>
      <c r="S16" s="197" t="s">
        <v>45</v>
      </c>
      <c r="T16" s="197"/>
      <c r="U16" s="195" t="s">
        <v>46</v>
      </c>
      <c r="V16" s="195"/>
      <c r="W16" s="195" t="s">
        <v>47</v>
      </c>
      <c r="X16" s="195"/>
      <c r="Y16" s="197" t="s">
        <v>48</v>
      </c>
      <c r="Z16" s="153"/>
      <c r="AA16" s="196" t="s">
        <v>389</v>
      </c>
    </row>
    <row r="17" spans="2:28" s="149" customFormat="1" ht="15" customHeight="1" x14ac:dyDescent="0.25">
      <c r="B17" s="92">
        <v>2022</v>
      </c>
      <c r="C17" s="161">
        <f>IFERROR($C$12*'table for settlement look up'!E3,"N/A")</f>
        <v>14354.21496362688</v>
      </c>
      <c r="D17" s="162"/>
      <c r="E17" s="161">
        <f>IFERROR($C$12*'table for settlement look up'!F3,"N/A")</f>
        <v>0</v>
      </c>
      <c r="F17" s="163"/>
      <c r="G17" s="161">
        <f>IFERROR($C$12*'table for settlement look up'!G3,"N/A")</f>
        <v>0</v>
      </c>
      <c r="H17" s="164">
        <f>IFERROR(VLOOKUP($C$10,'Direct share used as match data'!$A$2:$S$135,2,FALSE),"")</f>
        <v>0</v>
      </c>
      <c r="I17" s="165"/>
      <c r="J17" s="165">
        <f>IFERROR(VLOOKUP($C$10,'Multiyear data for vlookup'!$A$1:$AL$136,21,FALSE),"")</f>
        <v>0</v>
      </c>
      <c r="K17" s="165">
        <f>IFERROR(VLOOKUP($C$10,'Individual award multi year'!$A$1:$S$136,2,FALSE),"")</f>
        <v>0</v>
      </c>
      <c r="L17" s="166">
        <f>J17-K17</f>
        <v>0</v>
      </c>
      <c r="M17" s="165">
        <f>IFERROR(VLOOKUP($C$10,'Multiyear data for vlookup'!$A$1:$BE$136,40,FALSE),"")</f>
        <v>0</v>
      </c>
      <c r="N17" s="165">
        <f>IFERROR(VLOOKUP($C$10,'Approved gold standard amounts'!$A$3:$S$135,2,FALSE),"")</f>
        <v>0</v>
      </c>
      <c r="O17" s="166">
        <f>M17-N17</f>
        <v>0</v>
      </c>
      <c r="P17" s="165"/>
      <c r="Q17" s="161">
        <f>IFERROR($C$12*'table for settlement look up'!H3,"N/A")</f>
        <v>0</v>
      </c>
      <c r="R17" s="165"/>
      <c r="S17" s="161">
        <f>IFERROR($C$12*'table for settlement look up'!I3,"N/A")</f>
        <v>0</v>
      </c>
      <c r="T17" s="165"/>
      <c r="U17" s="161">
        <f>IFERROR($C$12*'table for settlement look up'!J3,"N/A")</f>
        <v>0</v>
      </c>
      <c r="V17" s="165"/>
      <c r="W17" s="161">
        <f>IFERROR($C$12*'table for settlement look up'!K3,"N/A")</f>
        <v>0</v>
      </c>
      <c r="X17" s="165"/>
      <c r="Y17" s="161">
        <f>IFERROR($C$12*'table for settlement look up'!L3,"N/A")</f>
        <v>0</v>
      </c>
      <c r="Z17" s="165"/>
      <c r="AA17" s="161">
        <f>IFERROR($C$12*'table for settlement look up'!M3,"N/A")</f>
        <v>0</v>
      </c>
      <c r="AB17"/>
    </row>
    <row r="18" spans="2:28" s="149" customFormat="1" ht="15" customHeight="1" x14ac:dyDescent="0.25">
      <c r="B18" s="93">
        <v>2023</v>
      </c>
      <c r="C18" s="167">
        <f>IFERROR($C$12*'table for settlement look up'!E4,"N/A")</f>
        <v>24898.845161448848</v>
      </c>
      <c r="D18" s="168"/>
      <c r="E18" s="161">
        <f>IFERROR($C$12*'table for settlement look up'!F4,"N/A")</f>
        <v>62276.722326789641</v>
      </c>
      <c r="F18" s="169"/>
      <c r="G18" s="161">
        <f>IFERROR($C$12*'table for settlement look up'!G4,"N/A")</f>
        <v>3694.438998989986</v>
      </c>
      <c r="H18" s="164">
        <f>IFERROR(VLOOKUP($C$10,'Direct share used as match data'!$A$2:$S$135,3,FALSE),"")</f>
        <v>0</v>
      </c>
      <c r="I18" s="165"/>
      <c r="J18" s="165">
        <f>IFERROR(VLOOKUP($C$10,'Multiyear data for vlookup'!$A$1:$AL$136,22,FALSE),"")</f>
        <v>32881.537567649742</v>
      </c>
      <c r="K18" s="165">
        <f>IFERROR(VLOOKUP($C$10,'Individual award multi year'!$A$1:$S$136,3,FALSE),"")</f>
        <v>0</v>
      </c>
      <c r="L18" s="166">
        <f>J17+J18-K18</f>
        <v>32881.537567649742</v>
      </c>
      <c r="M18" s="165">
        <f>IFERROR(VLOOKUP($C$10,'Multiyear data for vlookup'!$A$1:$BE$136,41,FALSE),"")</f>
        <v>8220.3843919124356</v>
      </c>
      <c r="N18" s="165">
        <f>IFERROR(VLOOKUP($C$10,'Approved gold standard amounts'!$A$3:$S$135,3,FALSE),"")</f>
        <v>0</v>
      </c>
      <c r="O18" s="166">
        <f>M17+M18-N18</f>
        <v>8220.3843919124356</v>
      </c>
      <c r="P18" s="165"/>
      <c r="Q18" s="161">
        <f>IFERROR($C$12*'table for settlement look up'!H4,"N/A")</f>
        <v>0</v>
      </c>
      <c r="R18" s="165"/>
      <c r="S18" s="161">
        <f>IFERROR($C$12*'table for settlement look up'!I4,"N/A")</f>
        <v>0</v>
      </c>
      <c r="T18" s="165"/>
      <c r="U18" s="161">
        <f>IFERROR($C$12*'table for settlement look up'!J4,"N/A")</f>
        <v>0</v>
      </c>
      <c r="V18" s="165"/>
      <c r="W18" s="161">
        <f>IFERROR($C$12*'table for settlement look up'!K4,"N/A")</f>
        <v>0</v>
      </c>
      <c r="X18" s="165"/>
      <c r="Y18" s="161">
        <f>IFERROR($C$12*'table for settlement look up'!L4,"N/A")</f>
        <v>0</v>
      </c>
      <c r="Z18" s="165"/>
      <c r="AA18" s="161">
        <f>IFERROR($C$12*'table for settlement look up'!M4,"N/A")</f>
        <v>0</v>
      </c>
      <c r="AB18"/>
    </row>
    <row r="19" spans="2:28" ht="15" customHeight="1" x14ac:dyDescent="0.25">
      <c r="B19" s="93">
        <v>2024</v>
      </c>
      <c r="C19" s="167">
        <f>IFERROR($C$12*'table for settlement look up'!E5,"N/A")</f>
        <v>28424.859135603587</v>
      </c>
      <c r="D19" s="168"/>
      <c r="E19" s="161">
        <f>IFERROR($C$12*'table for settlement look up'!F5,"N/A")</f>
        <v>0</v>
      </c>
      <c r="F19" s="169"/>
      <c r="G19" s="161">
        <f>IFERROR($C$12*'table for settlement look up'!G5,"N/A")</f>
        <v>4346.3988252482477</v>
      </c>
      <c r="H19" s="164">
        <f>IFERROR(VLOOKUP($C$10,'Direct share used as match data'!$A$2:$S$135,4,FALSE),"")</f>
        <v>20000</v>
      </c>
      <c r="I19" s="165"/>
      <c r="J19" s="165">
        <f>IFERROR(VLOOKUP($C$10,'Multiyear data for vlookup'!$A$1:$AL$136,23,FALSE),"")</f>
        <v>38062.071363324583</v>
      </c>
      <c r="K19" s="165">
        <f>IFERROR(VLOOKUP($C$10,'Individual award multi year'!$A$1:$S$136,4,FALSE),"")</f>
        <v>0</v>
      </c>
      <c r="L19" s="166">
        <f>J17+J18+J19-K19</f>
        <v>70943.608930974326</v>
      </c>
      <c r="M19" s="165">
        <f>IFERROR(VLOOKUP($C$10,'Multiyear data for vlookup'!$A$1:$BE$136,42,FALSE),"")</f>
        <v>9515.5178408311458</v>
      </c>
      <c r="N19" s="165">
        <f>IFERROR(VLOOKUP($C$10,'Approved gold standard amounts'!$A$3:$S$135,4,FALSE),"")</f>
        <v>0</v>
      </c>
      <c r="O19" s="166">
        <f>M17+M18+M19-N19</f>
        <v>17735.902232743581</v>
      </c>
      <c r="P19" s="165"/>
      <c r="Q19" s="161">
        <f>IFERROR($C$12*'table for settlement look up'!H5,"N/A")</f>
        <v>4984.1024004876363</v>
      </c>
      <c r="R19" s="165"/>
      <c r="S19" s="161">
        <f>IFERROR($C$12*'table for settlement look up'!I5,"N/A")</f>
        <v>5514.8862245849668</v>
      </c>
      <c r="T19" s="165"/>
      <c r="U19" s="161">
        <f>IFERROR($C$12*'table for settlement look up'!J5,"N/A")</f>
        <v>48570.525707366112</v>
      </c>
      <c r="V19" s="165"/>
      <c r="W19" s="161">
        <f>IFERROR($C$12*'table for settlement look up'!K5,"N/A")</f>
        <v>6951.5529466730959</v>
      </c>
      <c r="X19" s="165"/>
      <c r="Y19" s="161">
        <f>IFERROR($C$12*'table for settlement look up'!L5,"N/A")</f>
        <v>13273.644560945593</v>
      </c>
      <c r="Z19" s="165"/>
      <c r="AA19" s="161">
        <f>IFERROR($C$12*'table for settlement look up'!M5,"N/A")</f>
        <v>0</v>
      </c>
    </row>
    <row r="20" spans="2:28" ht="15" customHeight="1" x14ac:dyDescent="0.25">
      <c r="B20" s="147">
        <v>2025</v>
      </c>
      <c r="C20" s="170">
        <f>IFERROR($C$12*'table for settlement look up'!E6,"N/A")</f>
        <v>18881.740525373843</v>
      </c>
      <c r="D20" s="171"/>
      <c r="E20" s="170">
        <f>IFERROR($C$12*'table for settlement look up'!F6,"N/A")</f>
        <v>0</v>
      </c>
      <c r="F20" s="172"/>
      <c r="G20" s="170">
        <f>IFERROR($C$12*'table for settlement look up'!G6,"N/A")</f>
        <v>0</v>
      </c>
      <c r="H20" s="173">
        <f>IFERROR(VLOOKUP($C$10,'Direct share used as match data'!$A$2:$S$135,5,FALSE),"")</f>
        <v>0</v>
      </c>
      <c r="I20" s="174"/>
      <c r="J20" s="174">
        <f>IFERROR(VLOOKUP($C$10,'Multiyear data for vlookup'!$A$1:$AL$136,24,FALSE),"")</f>
        <v>14821.910416499308</v>
      </c>
      <c r="K20" s="174">
        <f>IFERROR(VLOOKUP($C$10,'Individual award multi year'!$A$1:$S$136,5,FALSE),"")</f>
        <v>0</v>
      </c>
      <c r="L20" s="175">
        <f t="shared" ref="L20:L35" si="0">J20-K20</f>
        <v>14821.910416499308</v>
      </c>
      <c r="M20" s="174">
        <f>IFERROR(VLOOKUP($C$10,'Multiyear data for vlookup'!$A$1:$BE$136,43,FALSE),"")</f>
        <v>3705.4776041248269</v>
      </c>
      <c r="N20" s="174">
        <f>IFERROR(VLOOKUP($C$10,'Approved gold standard amounts'!$A$3:$S$135,5,FALSE),"")</f>
        <v>0</v>
      </c>
      <c r="O20" s="175">
        <f t="shared" ref="O20:O34" si="1">M20-N20</f>
        <v>3705.4776041248269</v>
      </c>
      <c r="P20" s="174"/>
      <c r="Q20" s="176">
        <f>IFERROR($C$12*'table for settlement look up'!H6,"N/A")</f>
        <v>5428.0928936516575</v>
      </c>
      <c r="R20" s="174"/>
      <c r="S20" s="176">
        <f>IFERROR($C$12*'table for settlement look up'!I6,"N/A")</f>
        <v>5518.511824359146</v>
      </c>
      <c r="T20" s="174"/>
      <c r="U20" s="176">
        <f>IFERROR($C$12*'table for settlement look up'!J6,"N/A")</f>
        <v>0</v>
      </c>
      <c r="V20" s="174"/>
      <c r="W20" s="176">
        <f>IFERROR($C$12*'table for settlement look up'!K6,"N/A")</f>
        <v>5542.1302501561313</v>
      </c>
      <c r="X20" s="174"/>
      <c r="Y20" s="176">
        <f>IFERROR($C$12*'table for settlement look up'!L6,"N/A")</f>
        <v>0</v>
      </c>
      <c r="Z20" s="174"/>
      <c r="AA20" s="176">
        <f>IFERROR($C$12*'table for settlement look up'!M6,"N/A")</f>
        <v>7606.5758397583886</v>
      </c>
    </row>
    <row r="21" spans="2:28" ht="15" customHeight="1" x14ac:dyDescent="0.25">
      <c r="B21" s="147">
        <v>2026</v>
      </c>
      <c r="C21" s="170">
        <f>IFERROR($C$12*'table for settlement look up'!E7,"N/A")</f>
        <v>18881.740525192745</v>
      </c>
      <c r="D21" s="171"/>
      <c r="E21" s="170">
        <f>IFERROR($C$12*'table for settlement look up'!F7,"N/A")</f>
        <v>0</v>
      </c>
      <c r="F21" s="172"/>
      <c r="G21" s="170">
        <f>IFERROR($C$12*'table for settlement look up'!G7,"N/A")</f>
        <v>0</v>
      </c>
      <c r="H21" s="173">
        <f>IFERROR(VLOOKUP($C$10,'Direct share used as match data'!$A$2:$S$135,6,FALSE),"")</f>
        <v>0</v>
      </c>
      <c r="I21" s="174"/>
      <c r="J21" s="174">
        <f>IFERROR(VLOOKUP($C$10,'Multiyear data for vlookup'!$A$1:$AL$136,25,FALSE),"")</f>
        <v>16261.975393752675</v>
      </c>
      <c r="K21" s="174">
        <f>IFERROR(VLOOKUP($C$10,'Individual award multi year'!$A$1:$S$136,6,FALSE),"")</f>
        <v>0</v>
      </c>
      <c r="L21" s="175">
        <f t="shared" si="0"/>
        <v>16261.975393752675</v>
      </c>
      <c r="M21" s="174">
        <f>IFERROR(VLOOKUP($C$10,'Multiyear data for vlookup'!$A$1:$BE$136,44,FALSE),"")</f>
        <v>4065.4938484381687</v>
      </c>
      <c r="N21" s="174">
        <f>IFERROR(VLOOKUP($C$10,'Approved gold standard amounts'!$A$3:$S$135,6,FALSE),"")</f>
        <v>0</v>
      </c>
      <c r="O21" s="175">
        <f t="shared" si="1"/>
        <v>4065.4938484381687</v>
      </c>
      <c r="P21" s="174"/>
      <c r="Q21" s="176">
        <f>IFERROR($C$12*'table for settlement look up'!H7,"N/A")</f>
        <v>5428.0928936516575</v>
      </c>
      <c r="R21" s="174"/>
      <c r="S21" s="176">
        <f>IFERROR($C$12*'table for settlement look up'!I7,"N/A")</f>
        <v>5518.511824359146</v>
      </c>
      <c r="T21" s="174"/>
      <c r="U21" s="176">
        <f>IFERROR($C$12*'table for settlement look up'!J7,"N/A")</f>
        <v>0</v>
      </c>
      <c r="V21" s="174"/>
      <c r="W21" s="176">
        <f>IFERROR($C$12*'table for settlement look up'!K7,"N/A")</f>
        <v>11075.478794590661</v>
      </c>
      <c r="X21" s="174"/>
      <c r="Y21" s="176">
        <f>IFERROR($C$12*'table for settlement look up'!L7,"N/A")</f>
        <v>5277.7949449039888</v>
      </c>
      <c r="Z21" s="174"/>
      <c r="AA21" s="176">
        <f>IFERROR($C$12*'table for settlement look up'!M7,"N/A")</f>
        <v>0</v>
      </c>
    </row>
    <row r="22" spans="2:28" ht="15" customHeight="1" x14ac:dyDescent="0.25">
      <c r="B22" s="147">
        <v>2027</v>
      </c>
      <c r="C22" s="170">
        <f>IFERROR($C$12*'table for settlement look up'!E8,"N/A")</f>
        <v>18881.740525011646</v>
      </c>
      <c r="D22" s="171"/>
      <c r="E22" s="170">
        <f>IFERROR($C$12*'table for settlement look up'!F8,"N/A")</f>
        <v>2898.4230197582892</v>
      </c>
      <c r="F22" s="172"/>
      <c r="G22" s="170">
        <f>IFERROR($C$12*'table for settlement look up'!G8,"N/A")</f>
        <v>0</v>
      </c>
      <c r="H22" s="173">
        <f>IFERROR(VLOOKUP($C$10,'Direct share used as match data'!$A$2:$S$135,7,FALSE),"")</f>
        <v>0</v>
      </c>
      <c r="I22" s="174"/>
      <c r="J22" s="174">
        <f>IFERROR(VLOOKUP($C$10,'Multiyear data for vlookup'!$A$1:$AL$136,26,FALSE),"")</f>
        <v>17324.730500930978</v>
      </c>
      <c r="K22" s="174">
        <f>IFERROR(VLOOKUP($C$10,'Individual award multi year'!$A$1:$S$136,7,FALSE),"")</f>
        <v>0</v>
      </c>
      <c r="L22" s="175">
        <f t="shared" si="0"/>
        <v>17324.730500930978</v>
      </c>
      <c r="M22" s="174">
        <f>IFERROR(VLOOKUP($C$10,'Multiyear data for vlookup'!$A$1:$BE$136,45,FALSE),"")</f>
        <v>4331.1826252327446</v>
      </c>
      <c r="N22" s="174">
        <f>IFERROR(VLOOKUP($C$10,'Approved gold standard amounts'!$A$3:$S$135,7,FALSE),"")</f>
        <v>0</v>
      </c>
      <c r="O22" s="175">
        <f t="shared" si="1"/>
        <v>4331.1826252327446</v>
      </c>
      <c r="P22" s="174"/>
      <c r="Q22" s="176">
        <f>IFERROR($C$12*'table for settlement look up'!H8,"N/A")</f>
        <v>5428.0928936516575</v>
      </c>
      <c r="R22" s="174"/>
      <c r="S22" s="176">
        <f>IFERROR($C$12*'table for settlement look up'!I8,"N/A")</f>
        <v>5518.511824359146</v>
      </c>
      <c r="T22" s="174"/>
      <c r="U22" s="176">
        <f>IFERROR($C$12*'table for settlement look up'!J8,"N/A")</f>
        <v>0</v>
      </c>
      <c r="V22" s="174"/>
      <c r="W22" s="176">
        <f>IFERROR($C$12*'table for settlement look up'!K8,"N/A")</f>
        <v>11075.478794590661</v>
      </c>
      <c r="X22" s="174"/>
      <c r="Y22" s="176">
        <f>IFERROR($C$12*'table for settlement look up'!L8,"N/A")</f>
        <v>5277.7949449039888</v>
      </c>
      <c r="Z22" s="174"/>
      <c r="AA22" s="176">
        <f>IFERROR($C$12*'table for settlement look up'!M8,"N/A")</f>
        <v>0</v>
      </c>
    </row>
    <row r="23" spans="2:28" ht="15" customHeight="1" x14ac:dyDescent="0.25">
      <c r="B23" s="147">
        <v>2028</v>
      </c>
      <c r="C23" s="170">
        <f>IFERROR($C$12*'table for settlement look up'!E9,"N/A")</f>
        <v>7193.9431431689245</v>
      </c>
      <c r="D23" s="171"/>
      <c r="E23" s="170">
        <f>IFERROR($C$12*'table for settlement look up'!F9,"N/A")</f>
        <v>2898.4230016482938</v>
      </c>
      <c r="F23" s="172"/>
      <c r="G23" s="170">
        <f>IFERROR($C$12*'table for settlement look up'!G9,"N/A")</f>
        <v>0</v>
      </c>
      <c r="H23" s="173">
        <f>IFERROR(VLOOKUP($C$10,'Direct share used as match data'!$A$2:$S$135,8,FALSE),"")</f>
        <v>0</v>
      </c>
      <c r="I23" s="174"/>
      <c r="J23" s="174">
        <f>IFERROR(VLOOKUP($C$10,'Multiyear data for vlookup'!$A$1:$AL$136,27,FALSE),"")</f>
        <v>13039.204787614981</v>
      </c>
      <c r="K23" s="174">
        <f>IFERROR(VLOOKUP($C$10,'Individual award multi year'!$A$1:$S$136,8,FALSE),"")</f>
        <v>0</v>
      </c>
      <c r="L23" s="175">
        <f t="shared" si="0"/>
        <v>13039.204787614981</v>
      </c>
      <c r="M23" s="174">
        <f>IFERROR(VLOOKUP($C$10,'Multiyear data for vlookup'!$A$1:$BE$136,46,FALSE),"")</f>
        <v>3259.8011969037452</v>
      </c>
      <c r="N23" s="174">
        <f>IFERROR(VLOOKUP($C$10,'Approved gold standard amounts'!$A$3:$S$135,8,FALSE),"")</f>
        <v>0</v>
      </c>
      <c r="O23" s="175">
        <f t="shared" si="1"/>
        <v>3259.8011969037452</v>
      </c>
      <c r="P23" s="174"/>
      <c r="Q23" s="176">
        <f>IFERROR($C$12*'table for settlement look up'!H9,"N/A")</f>
        <v>5428.0928936516575</v>
      </c>
      <c r="R23" s="174"/>
      <c r="S23" s="176">
        <f>IFERROR($C$12*'table for settlement look up'!I9,"N/A")</f>
        <v>5518.511824359146</v>
      </c>
      <c r="T23" s="174"/>
      <c r="U23" s="176">
        <f>IFERROR($C$12*'table for settlement look up'!J9,"N/A")</f>
        <v>0</v>
      </c>
      <c r="V23" s="174"/>
      <c r="W23" s="176">
        <f>IFERROR($C$12*'table for settlement look up'!K9,"N/A")</f>
        <v>11075.478794590661</v>
      </c>
      <c r="X23" s="174"/>
      <c r="Y23" s="176">
        <f>IFERROR($C$12*'table for settlement look up'!L9,"N/A")</f>
        <v>5277.7949449039888</v>
      </c>
      <c r="Z23" s="174"/>
      <c r="AA23" s="176">
        <f>IFERROR($C$12*'table for settlement look up'!M9,"N/A")</f>
        <v>0</v>
      </c>
    </row>
    <row r="24" spans="2:28" ht="15" customHeight="1" x14ac:dyDescent="0.25">
      <c r="B24" s="147">
        <v>2029</v>
      </c>
      <c r="C24" s="170">
        <f>IFERROR($C$12*'table for settlement look up'!E10,"N/A")</f>
        <v>22207.201769137202</v>
      </c>
      <c r="D24" s="171"/>
      <c r="E24" s="170">
        <f>IFERROR($C$12*'table for settlement look up'!F10,"N/A")</f>
        <v>2898.4229654283031</v>
      </c>
      <c r="F24" s="172"/>
      <c r="G24" s="170">
        <f>IFERROR($C$12*'table for settlement look up'!G10,"N/A")</f>
        <v>0</v>
      </c>
      <c r="H24" s="173">
        <f>IFERROR(VLOOKUP($C$10,'Direct share used as match data'!$A$2:$S$135,9,FALSE),"")</f>
        <v>0</v>
      </c>
      <c r="I24" s="174"/>
      <c r="J24" s="174">
        <f>IFERROR(VLOOKUP($C$10,'Multiyear data for vlookup'!$A$1:$AL$136,28,FALSE),"")</f>
        <v>18544.06627052269</v>
      </c>
      <c r="K24" s="174">
        <f>IFERROR(VLOOKUP($C$10,'Individual award multi year'!$A$1:$S$136,9,FALSE),"")</f>
        <v>0</v>
      </c>
      <c r="L24" s="175">
        <f t="shared" si="0"/>
        <v>18544.06627052269</v>
      </c>
      <c r="M24" s="174">
        <f>IFERROR(VLOOKUP($C$10,'Multiyear data for vlookup'!$A$1:$BE$136,47,FALSE),"")</f>
        <v>4636.0165676306724</v>
      </c>
      <c r="N24" s="174">
        <f>IFERROR(VLOOKUP($C$10,'Approved gold standard amounts'!$A$3:$S$135,9,FALSE),"")</f>
        <v>0</v>
      </c>
      <c r="O24" s="175">
        <f t="shared" si="1"/>
        <v>4636.0165676306724</v>
      </c>
      <c r="P24" s="174"/>
      <c r="Q24" s="176">
        <f>IFERROR($C$12*'table for settlement look up'!H10,"N/A")</f>
        <v>5428.0928936516575</v>
      </c>
      <c r="R24" s="174"/>
      <c r="S24" s="176">
        <f>IFERROR($C$12*'table for settlement look up'!I10,"N/A")</f>
        <v>5518.511824359146</v>
      </c>
      <c r="T24" s="174"/>
      <c r="U24" s="176">
        <f>IFERROR($C$12*'table for settlement look up'!J10,"N/A")</f>
        <v>0</v>
      </c>
      <c r="V24" s="174"/>
      <c r="W24" s="176">
        <f>IFERROR($C$12*'table for settlement look up'!K10,"N/A")</f>
        <v>11075.478794590661</v>
      </c>
      <c r="X24" s="174"/>
      <c r="Y24" s="176">
        <f>IFERROR($C$12*'table for settlement look up'!L10,"N/A")</f>
        <v>5277.7949449039888</v>
      </c>
      <c r="Z24" s="174"/>
      <c r="AA24" s="176">
        <f>IFERROR($C$12*'table for settlement look up'!M10,"N/A")</f>
        <v>0</v>
      </c>
    </row>
    <row r="25" spans="2:28" ht="15" customHeight="1" x14ac:dyDescent="0.25">
      <c r="B25" s="147">
        <v>2030</v>
      </c>
      <c r="C25" s="170">
        <f>IFERROR($C$12*'table for settlement look up'!E11,"N/A")</f>
        <v>22207.201769137202</v>
      </c>
      <c r="D25" s="171"/>
      <c r="E25" s="170">
        <f>IFERROR($C$12*'table for settlement look up'!F11,"N/A")</f>
        <v>3690.1994663541473</v>
      </c>
      <c r="F25" s="172"/>
      <c r="G25" s="170">
        <f>IFERROR($C$12*'table for settlement look up'!G11,"N/A")</f>
        <v>0</v>
      </c>
      <c r="H25" s="173">
        <f>IFERROR(VLOOKUP($C$10,'Direct share used as match data'!$A$2:$S$135,10,FALSE),"")</f>
        <v>0</v>
      </c>
      <c r="I25" s="174"/>
      <c r="J25" s="174">
        <f>IFERROR(VLOOKUP($C$10,'Multiyear data for vlookup'!$A$1:$AL$136,29,FALSE),"")</f>
        <v>18655.364225131205</v>
      </c>
      <c r="K25" s="174">
        <f>IFERROR(VLOOKUP($C$10,'Individual award multi year'!$A$1:$S$136,10,FALSE),"")</f>
        <v>0</v>
      </c>
      <c r="L25" s="175">
        <f t="shared" si="0"/>
        <v>18655.364225131205</v>
      </c>
      <c r="M25" s="174">
        <f>IFERROR(VLOOKUP($C$10,'Multiyear data for vlookup'!$A$1:$BE$136,48,FALSE),"")</f>
        <v>4663.8410562828012</v>
      </c>
      <c r="N25" s="174">
        <f>IFERROR(VLOOKUP($C$10,'Approved gold standard amounts'!$A$3:$S$135,10,FALSE),"")</f>
        <v>0</v>
      </c>
      <c r="O25" s="175">
        <f t="shared" si="1"/>
        <v>4663.8410562828012</v>
      </c>
      <c r="P25" s="174"/>
      <c r="Q25" s="176">
        <f>IFERROR($C$12*'table for settlement look up'!H11,"N/A")</f>
        <v>5428.0928936516575</v>
      </c>
      <c r="R25" s="174"/>
      <c r="S25" s="176">
        <f>IFERROR($C$12*'table for settlement look up'!I11,"N/A")</f>
        <v>5518.511824359146</v>
      </c>
      <c r="T25" s="174"/>
      <c r="U25" s="176">
        <f>IFERROR($C$12*'table for settlement look up'!J11,"N/A")</f>
        <v>0</v>
      </c>
      <c r="V25" s="174"/>
      <c r="W25" s="176">
        <f>IFERROR($C$12*'table for settlement look up'!K11,"N/A")</f>
        <v>10522.143953240429</v>
      </c>
      <c r="X25" s="174"/>
      <c r="Y25" s="176">
        <f>IFERROR($C$12*'table for settlement look up'!L11,"N/A")</f>
        <v>5277.7949449039888</v>
      </c>
      <c r="Z25" s="174"/>
      <c r="AA25" s="176">
        <f>IFERROR($C$12*'table for settlement look up'!M11,"N/A")</f>
        <v>0</v>
      </c>
    </row>
    <row r="26" spans="2:28" ht="15" customHeight="1" x14ac:dyDescent="0.25">
      <c r="B26" s="147">
        <v>2031</v>
      </c>
      <c r="C26" s="170">
        <f>IFERROR($C$12*'table for settlement look up'!E12,"N/A")</f>
        <v>22207.201769137202</v>
      </c>
      <c r="D26" s="171"/>
      <c r="E26" s="170">
        <f>IFERROR($C$12*'table for settlement look up'!F12,"N/A")</f>
        <v>3690.1994844641422</v>
      </c>
      <c r="F26" s="172"/>
      <c r="G26" s="170">
        <f>IFERROR($C$12*'table for settlement look up'!G12,"N/A")</f>
        <v>0</v>
      </c>
      <c r="H26" s="173">
        <f>IFERROR(VLOOKUP($C$10,'Direct share used as match data'!$A$2:$S$135,11,FALSE),"")</f>
        <v>0</v>
      </c>
      <c r="I26" s="174"/>
      <c r="J26" s="174">
        <f>IFERROR(VLOOKUP($C$10,'Multiyear data for vlookup'!$A$1:$AL$136,30,FALSE),"")</f>
        <v>17349.84783662259</v>
      </c>
      <c r="K26" s="174">
        <f>IFERROR(VLOOKUP($C$10,'Individual award multi year'!$A$1:$S$136,11,FALSE),"")</f>
        <v>0</v>
      </c>
      <c r="L26" s="175">
        <f t="shared" si="0"/>
        <v>17349.84783662259</v>
      </c>
      <c r="M26" s="174">
        <f>IFERROR(VLOOKUP($C$10,'Multiyear data for vlookup'!$A$1:$BE$136,49,FALSE),"")</f>
        <v>4337.4619591556475</v>
      </c>
      <c r="N26" s="174">
        <f>IFERROR(VLOOKUP($C$10,'Approved gold standard amounts'!$A$3:$S$135,11,FALSE),"")</f>
        <v>0</v>
      </c>
      <c r="O26" s="175">
        <f t="shared" si="1"/>
        <v>4337.4619591556475</v>
      </c>
      <c r="P26" s="174"/>
      <c r="Q26" s="176">
        <f>IFERROR($C$12*'table for settlement look up'!H12,"N/A")</f>
        <v>5428.0928936516575</v>
      </c>
      <c r="R26" s="174"/>
      <c r="S26" s="176">
        <f>IFERROR($C$12*'table for settlement look up'!I12,"N/A")</f>
        <v>0</v>
      </c>
      <c r="T26" s="174"/>
      <c r="U26" s="176">
        <f>IFERROR($C$12*'table for settlement look up'!J12,"N/A")</f>
        <v>0</v>
      </c>
      <c r="V26" s="174"/>
      <c r="W26" s="176">
        <f>IFERROR($C$12*'table for settlement look up'!K12,"N/A")</f>
        <v>9968.8090955236712</v>
      </c>
      <c r="X26" s="174"/>
      <c r="Y26" s="176">
        <f>IFERROR($C$12*'table for settlement look up'!L12,"N/A")</f>
        <v>7995.8496160416053</v>
      </c>
      <c r="Z26" s="174"/>
      <c r="AA26" s="176">
        <f>IFERROR($C$12*'table for settlement look up'!M12,"N/A")</f>
        <v>0</v>
      </c>
    </row>
    <row r="27" spans="2:28" ht="15" customHeight="1" x14ac:dyDescent="0.25">
      <c r="B27" s="147">
        <v>2032</v>
      </c>
      <c r="C27" s="170">
        <f>IFERROR($C$12*'table for settlement look up'!E13,"N/A")</f>
        <v>18667.394268683824</v>
      </c>
      <c r="D27" s="171"/>
      <c r="E27" s="170">
        <f>IFERROR($C$12*'table for settlement look up'!F13,"N/A")</f>
        <v>3690.1994663541473</v>
      </c>
      <c r="F27" s="172"/>
      <c r="G27" s="170">
        <f>IFERROR($C$12*'table for settlement look up'!G13,"N/A")</f>
        <v>0</v>
      </c>
      <c r="H27" s="173">
        <f>IFERROR(VLOOKUP($C$10,'Direct share used as match data'!$A$2:$S$135,12,FALSE),"")</f>
        <v>0</v>
      </c>
      <c r="I27" s="174"/>
      <c r="J27" s="174">
        <f>IFERROR(VLOOKUP($C$10,'Multiyear data for vlookup'!$A$1:$AL$136,31,FALSE),"")</f>
        <v>16049.077278358005</v>
      </c>
      <c r="K27" s="174">
        <f>IFERROR(VLOOKUP($C$10,'Individual award multi year'!$A$1:$S$136,12,FALSE),"")</f>
        <v>0</v>
      </c>
      <c r="L27" s="175">
        <f t="shared" si="0"/>
        <v>16049.077278358005</v>
      </c>
      <c r="M27" s="174">
        <f>IFERROR(VLOOKUP($C$10,'Multiyear data for vlookup'!$A$1:$BE$136,50,FALSE),"")</f>
        <v>4012.2693195895013</v>
      </c>
      <c r="N27" s="174">
        <f>IFERROR(VLOOKUP($C$10,'Approved gold standard amounts'!$A$3:$S$135,12,FALSE),"")</f>
        <v>0</v>
      </c>
      <c r="O27" s="175">
        <f t="shared" si="1"/>
        <v>4012.2693195895013</v>
      </c>
      <c r="P27" s="174"/>
      <c r="Q27" s="176">
        <f>IFERROR($C$12*'table for settlement look up'!H13,"N/A")</f>
        <v>5428.0928936516575</v>
      </c>
      <c r="R27" s="174"/>
      <c r="S27" s="176">
        <f>IFERROR($C$12*'table for settlement look up'!I13,"N/A")</f>
        <v>0</v>
      </c>
      <c r="T27" s="174"/>
      <c r="U27" s="176">
        <f>IFERROR($C$12*'table for settlement look up'!J13,"N/A")</f>
        <v>0</v>
      </c>
      <c r="V27" s="174"/>
      <c r="W27" s="176">
        <f>IFERROR($C$12*'table for settlement look up'!K13,"N/A")</f>
        <v>9960.0274061685959</v>
      </c>
      <c r="X27" s="174"/>
      <c r="Y27" s="176">
        <f>IFERROR($C$12*'table for settlement look up'!L13,"N/A")</f>
        <v>7995.8496160416053</v>
      </c>
      <c r="Z27" s="174"/>
      <c r="AA27" s="176">
        <f>IFERROR($C$12*'table for settlement look up'!M13,"N/A")</f>
        <v>0</v>
      </c>
    </row>
    <row r="28" spans="2:28" ht="15" customHeight="1" x14ac:dyDescent="0.25">
      <c r="B28" s="147">
        <v>2033</v>
      </c>
      <c r="C28" s="170">
        <f>IFERROR($C$12*'table for settlement look up'!E14,"N/A")</f>
        <v>18667.394268683824</v>
      </c>
      <c r="D28" s="171"/>
      <c r="E28" s="170">
        <f>IFERROR($C$12*'table for settlement look up'!F14,"N/A")</f>
        <v>0</v>
      </c>
      <c r="F28" s="172"/>
      <c r="G28" s="170">
        <f>IFERROR($C$12*'table for settlement look up'!G14,"N/A")</f>
        <v>0</v>
      </c>
      <c r="H28" s="173">
        <f>IFERROR(VLOOKUP($C$10,'Direct share used as match data'!$A$2:$S$135,13,FALSE),"")</f>
        <v>0</v>
      </c>
      <c r="I28" s="174"/>
      <c r="J28" s="174">
        <f>IFERROR(VLOOKUP($C$10,'Multiyear data for vlookup'!$A$1:$AL$136,32,FALSE),"")</f>
        <v>14696.004140694815</v>
      </c>
      <c r="K28" s="174">
        <f>IFERROR(VLOOKUP($C$10,'Individual award multi year'!$A$1:$S$136,13,FALSE),"")</f>
        <v>0</v>
      </c>
      <c r="L28" s="175">
        <f t="shared" si="0"/>
        <v>14696.004140694815</v>
      </c>
      <c r="M28" s="174">
        <f>IFERROR(VLOOKUP($C$10,'Multiyear data for vlookup'!$A$1:$BE$136,51,FALSE),"")</f>
        <v>3674.0010351737037</v>
      </c>
      <c r="N28" s="174">
        <f>IFERROR(VLOOKUP($C$10,'Approved gold standard amounts'!$A$3:$S$135,13,FALSE),"")</f>
        <v>0</v>
      </c>
      <c r="O28" s="175">
        <f t="shared" si="1"/>
        <v>3674.0010351737037</v>
      </c>
      <c r="P28" s="174"/>
      <c r="Q28" s="176">
        <f>IFERROR($C$12*'table for settlement look up'!H14,"N/A")</f>
        <v>5428.0928936516575</v>
      </c>
      <c r="R28" s="174"/>
      <c r="S28" s="176">
        <f>IFERROR($C$12*'table for settlement look up'!I14,"N/A")</f>
        <v>0</v>
      </c>
      <c r="T28" s="174"/>
      <c r="U28" s="176">
        <f>IFERROR($C$12*'table for settlement look up'!J14,"N/A")</f>
        <v>0</v>
      </c>
      <c r="V28" s="174"/>
      <c r="W28" s="176">
        <f>IFERROR($C$12*'table for settlement look up'!K14,"N/A")</f>
        <v>9960.0274061685959</v>
      </c>
      <c r="X28" s="174"/>
      <c r="Y28" s="176">
        <f>IFERROR($C$12*'table for settlement look up'!L14,"N/A")</f>
        <v>7995.8496160416053</v>
      </c>
      <c r="Z28" s="174"/>
      <c r="AA28" s="176">
        <f>IFERROR($C$12*'table for settlement look up'!M14,"N/A")</f>
        <v>0</v>
      </c>
    </row>
    <row r="29" spans="2:28" ht="15" customHeight="1" x14ac:dyDescent="0.25">
      <c r="B29" s="147">
        <v>2034</v>
      </c>
      <c r="C29" s="170">
        <f>IFERROR($C$12*'table for settlement look up'!E15,"N/A")</f>
        <v>18667.394268683824</v>
      </c>
      <c r="D29" s="171"/>
      <c r="E29" s="170">
        <f>IFERROR($C$12*'table for settlement look up'!F15,"N/A")</f>
        <v>0</v>
      </c>
      <c r="F29" s="172"/>
      <c r="G29" s="170">
        <f>IFERROR($C$12*'table for settlement look up'!G15,"N/A")</f>
        <v>0</v>
      </c>
      <c r="H29" s="173">
        <f>IFERROR(VLOOKUP($C$10,'Direct share used as match data'!$A$2:$S$135,14,FALSE),"")</f>
        <v>0</v>
      </c>
      <c r="I29" s="174"/>
      <c r="J29" s="174">
        <f>IFERROR(VLOOKUP($C$10,'Multiyear data for vlookup'!$A$1:$AL$136,33,FALSE),"")</f>
        <v>11473.64233281674</v>
      </c>
      <c r="K29" s="174">
        <f>IFERROR(VLOOKUP($C$10,'Individual award multi year'!$A$1:$S$136,14,FALSE),"")</f>
        <v>0</v>
      </c>
      <c r="L29" s="175">
        <f t="shared" si="0"/>
        <v>11473.64233281674</v>
      </c>
      <c r="M29" s="174">
        <f>IFERROR(VLOOKUP($C$10,'Multiyear data for vlookup'!$A$1:$BE$136,52,FALSE),"")</f>
        <v>2868.4105832041851</v>
      </c>
      <c r="N29" s="174">
        <f>IFERROR(VLOOKUP($C$10,'Approved gold standard amounts'!$A$3:$S$135,14,FALSE),"")</f>
        <v>0</v>
      </c>
      <c r="O29" s="175">
        <f t="shared" si="1"/>
        <v>2868.4105832041851</v>
      </c>
      <c r="P29" s="174"/>
      <c r="Q29" s="176">
        <f>IFERROR($C$12*'table for settlement look up'!H15,"N/A")</f>
        <v>5428.0928936516575</v>
      </c>
      <c r="R29" s="174"/>
      <c r="S29" s="176">
        <f>IFERROR($C$12*'table for settlement look up'!I15,"N/A")</f>
        <v>0</v>
      </c>
      <c r="T29" s="174"/>
      <c r="U29" s="176">
        <f>IFERROR($C$12*'table for settlement look up'!J15,"N/A")</f>
        <v>0</v>
      </c>
      <c r="V29" s="174"/>
      <c r="W29" s="176">
        <f>IFERROR($C$12*'table for settlement look up'!K15,"N/A")</f>
        <v>0</v>
      </c>
      <c r="X29" s="174"/>
      <c r="Y29" s="176">
        <f>IFERROR($C$12*'table for settlement look up'!L15,"N/A")</f>
        <v>7995.8496160416053</v>
      </c>
      <c r="Z29" s="174"/>
      <c r="AA29" s="176">
        <f>IFERROR($C$12*'table for settlement look up'!M15,"N/A")</f>
        <v>0</v>
      </c>
    </row>
    <row r="30" spans="2:28" ht="15" customHeight="1" x14ac:dyDescent="0.25">
      <c r="B30" s="147">
        <v>2035</v>
      </c>
      <c r="C30" s="170">
        <f>IFERROR($C$12*'table for settlement look up'!E16,"N/A")</f>
        <v>18667.394268683824</v>
      </c>
      <c r="D30" s="171"/>
      <c r="E30" s="170">
        <f>IFERROR($C$12*'table for settlement look up'!F16,"N/A")</f>
        <v>0</v>
      </c>
      <c r="F30" s="172"/>
      <c r="G30" s="170">
        <f>IFERROR($C$12*'table for settlement look up'!G16,"N/A")</f>
        <v>0</v>
      </c>
      <c r="H30" s="173">
        <f>IFERROR(VLOOKUP($C$10,'Direct share used as match data'!$A$2:$S$135,15,FALSE),"")</f>
        <v>0</v>
      </c>
      <c r="I30" s="174"/>
      <c r="J30" s="174">
        <f>IFERROR(VLOOKUP($C$10,'Multiyear data for vlookup'!$A$1:$AL$136,34,FALSE),"")</f>
        <v>11473.64233281674</v>
      </c>
      <c r="K30" s="174">
        <f>IFERROR(VLOOKUP($C$10,'Individual award multi year'!$A$1:$S$136,15,FALSE),"")</f>
        <v>0</v>
      </c>
      <c r="L30" s="175">
        <f t="shared" si="0"/>
        <v>11473.64233281674</v>
      </c>
      <c r="M30" s="174">
        <f>IFERROR(VLOOKUP($C$10,'Multiyear data for vlookup'!$A$1:$BE$136,53,FALSE),"")</f>
        <v>2868.4105832041851</v>
      </c>
      <c r="N30" s="174">
        <f>IFERROR(VLOOKUP($C$10,'Approved gold standard amounts'!$A$3:$S$135,15,FALSE),"")</f>
        <v>0</v>
      </c>
      <c r="O30" s="175">
        <f t="shared" si="1"/>
        <v>2868.4105832041851</v>
      </c>
      <c r="P30" s="174"/>
      <c r="Q30" s="176">
        <f>IFERROR($C$12*'table for settlement look up'!H16,"N/A")</f>
        <v>5428.0928936516575</v>
      </c>
      <c r="R30" s="174"/>
      <c r="S30" s="176">
        <f>IFERROR($C$12*'table for settlement look up'!I16,"N/A")</f>
        <v>0</v>
      </c>
      <c r="T30" s="174"/>
      <c r="U30" s="176">
        <f>IFERROR($C$12*'table for settlement look up'!J16,"N/A")</f>
        <v>0</v>
      </c>
      <c r="V30" s="174"/>
      <c r="W30" s="176">
        <f>IFERROR($C$12*'table for settlement look up'!K16,"N/A")</f>
        <v>0</v>
      </c>
      <c r="X30" s="174"/>
      <c r="Y30" s="176">
        <f>IFERROR($C$12*'table for settlement look up'!L16,"N/A")</f>
        <v>7995.8496160416053</v>
      </c>
      <c r="Z30" s="174"/>
      <c r="AA30" s="176">
        <f>IFERROR($C$12*'table for settlement look up'!M16,"N/A")</f>
        <v>0</v>
      </c>
    </row>
    <row r="31" spans="2:28" ht="15" customHeight="1" x14ac:dyDescent="0.25">
      <c r="B31" s="147">
        <v>2036</v>
      </c>
      <c r="C31" s="170">
        <f>IFERROR($C$12*'table for settlement look up'!E17,"N/A")</f>
        <v>18667.394268683824</v>
      </c>
      <c r="D31" s="171"/>
      <c r="E31" s="170">
        <f>IFERROR($C$12*'table for settlement look up'!F17,"N/A")</f>
        <v>0</v>
      </c>
      <c r="F31" s="172"/>
      <c r="G31" s="170">
        <f>IFERROR($C$12*'table for settlement look up'!G17,"N/A")</f>
        <v>0</v>
      </c>
      <c r="H31" s="173">
        <f>IFERROR(VLOOKUP($C$10,'Direct share used as match data'!$A$2:$S$135,16,FALSE),"")</f>
        <v>0</v>
      </c>
      <c r="I31" s="174"/>
      <c r="J31" s="174">
        <f>IFERROR(VLOOKUP($C$10,'Multiyear data for vlookup'!$A$1:$AL$136,35,FALSE),"")</f>
        <v>11473.64233281674</v>
      </c>
      <c r="K31" s="174">
        <f>IFERROR(VLOOKUP($C$10,'Individual award multi year'!$A$1:$S$136,16,FALSE),"")</f>
        <v>0</v>
      </c>
      <c r="L31" s="175">
        <f t="shared" si="0"/>
        <v>11473.64233281674</v>
      </c>
      <c r="M31" s="174">
        <f>IFERROR(VLOOKUP($C$10,'Multiyear data for vlookup'!$A$1:$BE$136,54,FALSE),"")</f>
        <v>2868.4105832041851</v>
      </c>
      <c r="N31" s="174">
        <f>IFERROR(VLOOKUP($C$10,'Approved gold standard amounts'!$A$3:$S$135,16,FALSE),"")</f>
        <v>0</v>
      </c>
      <c r="O31" s="175">
        <f t="shared" si="1"/>
        <v>2868.4105832041851</v>
      </c>
      <c r="P31" s="174"/>
      <c r="Q31" s="176">
        <f>IFERROR($C$12*'table for settlement look up'!H17,"N/A")</f>
        <v>5428.0928936516575</v>
      </c>
      <c r="R31" s="174"/>
      <c r="S31" s="176">
        <f>IFERROR($C$12*'table for settlement look up'!I17,"N/A")</f>
        <v>0</v>
      </c>
      <c r="T31" s="174"/>
      <c r="U31" s="176">
        <f>IFERROR($C$12*'table for settlement look up'!J17,"N/A")</f>
        <v>0</v>
      </c>
      <c r="V31" s="174"/>
      <c r="W31" s="176">
        <f>IFERROR($C$12*'table for settlement look up'!K17,"N/A")</f>
        <v>0</v>
      </c>
      <c r="X31" s="174"/>
      <c r="Y31" s="176">
        <f>IFERROR($C$12*'table for settlement look up'!L17,"N/A")</f>
        <v>7995.8496160416053</v>
      </c>
      <c r="Z31" s="174"/>
      <c r="AA31" s="176">
        <f>IFERROR($C$12*'table for settlement look up'!M17,"N/A")</f>
        <v>0</v>
      </c>
    </row>
    <row r="32" spans="2:28" ht="15" customHeight="1" x14ac:dyDescent="0.25">
      <c r="B32" s="147">
        <v>2037</v>
      </c>
      <c r="C32" s="170">
        <f>IFERROR($C$12*'table for settlement look up'!E18,"N/A")</f>
        <v>18667.394268683824</v>
      </c>
      <c r="D32" s="171"/>
      <c r="E32" s="170">
        <f>IFERROR($C$12*'table for settlement look up'!F18,"N/A")</f>
        <v>0</v>
      </c>
      <c r="F32" s="172"/>
      <c r="G32" s="170">
        <f>IFERROR($C$12*'table for settlement look up'!G18,"N/A")</f>
        <v>0</v>
      </c>
      <c r="H32" s="173">
        <f>IFERROR(VLOOKUP($C$10,'Direct share used as match data'!$A$2:$S$135,17,FALSE),"")</f>
        <v>0</v>
      </c>
      <c r="I32" s="174"/>
      <c r="J32" s="174">
        <f>IFERROR(VLOOKUP($C$10,'Multiyear data for vlookup'!$A$1:$AL$136,36,FALSE),"")</f>
        <v>9483.3416051444656</v>
      </c>
      <c r="K32" s="174">
        <f>IFERROR(VLOOKUP($C$10,'Individual award multi year'!$A$1:$S$136,17,FALSE),"")</f>
        <v>0</v>
      </c>
      <c r="L32" s="175">
        <f t="shared" si="0"/>
        <v>9483.3416051444656</v>
      </c>
      <c r="M32" s="174">
        <f>IFERROR(VLOOKUP($C$10,'Multiyear data for vlookup'!$A$1:$BE$136,55,FALSE),"")</f>
        <v>2370.8354012861164</v>
      </c>
      <c r="N32" s="174">
        <f>IFERROR(VLOOKUP($C$10,'Approved gold standard amounts'!$A$3:$S$135,17,FALSE),"")</f>
        <v>0</v>
      </c>
      <c r="O32" s="175">
        <f t="shared" si="1"/>
        <v>2370.8354012861164</v>
      </c>
      <c r="P32" s="174"/>
      <c r="Q32" s="176">
        <f>IFERROR($C$12*'table for settlement look up'!H18,"N/A")</f>
        <v>0</v>
      </c>
      <c r="R32" s="174"/>
      <c r="S32" s="176">
        <f>IFERROR($C$12*'table for settlement look up'!I18,"N/A")</f>
        <v>0</v>
      </c>
      <c r="T32" s="174"/>
      <c r="U32" s="176">
        <f>IFERROR($C$12*'table for settlement look up'!J18,"N/A")</f>
        <v>0</v>
      </c>
      <c r="V32" s="174"/>
      <c r="W32" s="176">
        <f>IFERROR($C$12*'table for settlement look up'!K18,"N/A")</f>
        <v>0</v>
      </c>
      <c r="X32" s="174"/>
      <c r="Y32" s="176">
        <f>IFERROR($C$12*'table for settlement look up'!L18,"N/A")</f>
        <v>7995.8496160416053</v>
      </c>
      <c r="Z32" s="174"/>
      <c r="AA32" s="176">
        <f>IFERROR($C$12*'table for settlement look up'!M18,"N/A")</f>
        <v>0</v>
      </c>
    </row>
    <row r="33" spans="2:27" ht="15" customHeight="1" x14ac:dyDescent="0.25">
      <c r="B33" s="147">
        <v>2038</v>
      </c>
      <c r="C33" s="170">
        <f>IFERROR($C$12*'table for settlement look up'!E19,"N/A")</f>
        <v>18667.394268683824</v>
      </c>
      <c r="D33" s="171"/>
      <c r="E33" s="170">
        <f>IFERROR($C$12*'table for settlement look up'!F19,"N/A")</f>
        <v>0</v>
      </c>
      <c r="F33" s="172"/>
      <c r="G33" s="170">
        <f>IFERROR($C$12*'table for settlement look up'!G19,"N/A")</f>
        <v>0</v>
      </c>
      <c r="H33" s="173">
        <f>IFERROR(VLOOKUP($C$10,'Direct share used as match data'!$A$2:$S$135,18,FALSE),"")</f>
        <v>0</v>
      </c>
      <c r="I33" s="174"/>
      <c r="J33" s="174">
        <f>IFERROR(VLOOKUP($C$10,'Multiyear data for vlookup'!$A$1:$AL$136,37,FALSE),"")</f>
        <v>9483.3416051444656</v>
      </c>
      <c r="K33" s="174">
        <f>IFERROR(VLOOKUP($C$10,'Individual award multi year'!$A$1:$S$136,18,FALSE),"")</f>
        <v>0</v>
      </c>
      <c r="L33" s="175">
        <f t="shared" si="0"/>
        <v>9483.3416051444656</v>
      </c>
      <c r="M33" s="174">
        <f>IFERROR(VLOOKUP($C$10,'Multiyear data for vlookup'!$A$1:$BE$136,56,FALSE),"")</f>
        <v>2370.8354012861164</v>
      </c>
      <c r="N33" s="174">
        <f>IFERROR(VLOOKUP($C$10,'Approved gold standard amounts'!$A$3:$S$135,18,FALSE),"")</f>
        <v>0</v>
      </c>
      <c r="O33" s="175">
        <f t="shared" si="1"/>
        <v>2370.8354012861164</v>
      </c>
      <c r="P33" s="174"/>
      <c r="Q33" s="176">
        <f>IFERROR($C$12*'table for settlement look up'!H19,"N/A")</f>
        <v>0</v>
      </c>
      <c r="R33" s="174"/>
      <c r="S33" s="176">
        <f>IFERROR($C$12*'table for settlement look up'!I19,"N/A")</f>
        <v>0</v>
      </c>
      <c r="T33" s="174"/>
      <c r="U33" s="176">
        <f>IFERROR($C$12*'table for settlement look up'!J19,"N/A")</f>
        <v>0</v>
      </c>
      <c r="V33" s="174"/>
      <c r="W33" s="176">
        <f>IFERROR($C$12*'table for settlement look up'!K19,"N/A")</f>
        <v>0</v>
      </c>
      <c r="X33" s="174"/>
      <c r="Y33" s="176">
        <f>IFERROR($C$12*'table for settlement look up'!L19,"N/A")</f>
        <v>7995.8496160416053</v>
      </c>
      <c r="Z33" s="174"/>
      <c r="AA33" s="176">
        <f>IFERROR($C$12*'table for settlement look up'!M19,"N/A")</f>
        <v>0</v>
      </c>
    </row>
    <row r="34" spans="2:27" ht="15" customHeight="1" x14ac:dyDescent="0.25">
      <c r="B34" s="148">
        <v>2039</v>
      </c>
      <c r="C34" s="170">
        <f>IFERROR($C$12*'table for settlement look up'!E20,"N/A")</f>
        <v>18667.394268683824</v>
      </c>
      <c r="D34" s="177"/>
      <c r="E34" s="170">
        <f>IFERROR($C$12*'table for settlement look up'!F20,"N/A")</f>
        <v>0</v>
      </c>
      <c r="F34" s="178"/>
      <c r="G34" s="170">
        <f>IFERROR($C$12*'table for settlement look up'!G20,"N/A")</f>
        <v>0</v>
      </c>
      <c r="H34" s="179">
        <f>IFERROR(VLOOKUP($C$10,'Direct share used as match data'!$A$2:$S$135,19,FALSE),"")</f>
        <v>0</v>
      </c>
      <c r="I34" s="174"/>
      <c r="J34" s="174">
        <f>IFERROR(VLOOKUP($C$10,'Multiyear data for vlookup'!$A$1:$AL$136,38,FALSE),"")</f>
        <v>6844.7112318507352</v>
      </c>
      <c r="K34" s="174">
        <f>IFERROR(VLOOKUP($C$10,'Individual award multi year'!$A$1:$S$136,19,FALSE),"")</f>
        <v>0</v>
      </c>
      <c r="L34" s="175">
        <f t="shared" si="0"/>
        <v>6844.7112318507352</v>
      </c>
      <c r="M34" s="174">
        <f>IFERROR(VLOOKUP($C$10,'Multiyear data for vlookup'!$A$1:$BE$136,57,FALSE),"")</f>
        <v>1711.1778079626838</v>
      </c>
      <c r="N34" s="174">
        <f>IFERROR(VLOOKUP($C$10,'Approved gold standard amounts'!$A$3:$S$135,19,FALSE),"")</f>
        <v>0</v>
      </c>
      <c r="O34" s="175">
        <f t="shared" si="1"/>
        <v>1711.1778079626838</v>
      </c>
      <c r="P34" s="174"/>
      <c r="Q34" s="176">
        <f>IFERROR($C$12*'table for settlement look up'!H20,"N/A")</f>
        <v>0</v>
      </c>
      <c r="R34" s="174"/>
      <c r="S34" s="176">
        <f>IFERROR($C$12*'table for settlement look up'!I20,"N/A")</f>
        <v>0</v>
      </c>
      <c r="T34" s="174"/>
      <c r="U34" s="176">
        <f>IFERROR($C$12*'table for settlement look up'!J20,"N/A")</f>
        <v>0</v>
      </c>
      <c r="V34" s="174"/>
      <c r="W34" s="176">
        <f>IFERROR($C$12*'table for settlement look up'!K20,"N/A")</f>
        <v>0</v>
      </c>
      <c r="X34" s="174"/>
      <c r="Y34" s="176">
        <f>IFERROR($C$12*'table for settlement look up'!L20,"N/A")</f>
        <v>0</v>
      </c>
      <c r="Z34" s="174"/>
      <c r="AA34" s="176">
        <f>IFERROR($C$12*'table for settlement look up'!M20,"N/A")</f>
        <v>0</v>
      </c>
    </row>
    <row r="35" spans="2:27" s="1" customFormat="1" ht="16.5" thickBot="1" x14ac:dyDescent="0.3">
      <c r="B35" s="91" t="s">
        <v>26</v>
      </c>
      <c r="C35" s="180">
        <f>SUM(C17:C34)</f>
        <v>347477.84343630855</v>
      </c>
      <c r="D35" s="180"/>
      <c r="E35" s="180">
        <f t="shared" ref="E35:H35" si="2">SUM(E17:E34)</f>
        <v>82042.589730796943</v>
      </c>
      <c r="F35" s="180"/>
      <c r="G35" s="180">
        <f t="shared" si="2"/>
        <v>8040.8378242382332</v>
      </c>
      <c r="H35" s="181">
        <f t="shared" si="2"/>
        <v>20000</v>
      </c>
      <c r="I35" s="181"/>
      <c r="J35" s="181">
        <f>SUM(J17:J34)</f>
        <v>277918.11122169142</v>
      </c>
      <c r="K35" s="181">
        <f>SUM(K17:K34)</f>
        <v>0</v>
      </c>
      <c r="L35" s="181">
        <f t="shared" si="0"/>
        <v>277918.11122169142</v>
      </c>
      <c r="M35" s="181">
        <f>SUM(M17:M34)</f>
        <v>69479.527805422855</v>
      </c>
      <c r="N35" s="181">
        <f>SUM(N17:N34)</f>
        <v>0</v>
      </c>
      <c r="O35" s="181">
        <f>M35-N35</f>
        <v>69479.527805422855</v>
      </c>
      <c r="P35" s="182"/>
      <c r="Q35" s="180">
        <f t="shared" ref="Q35" si="3">SUM(Q17:Q34)</f>
        <v>70121.217124307528</v>
      </c>
      <c r="R35" s="182"/>
      <c r="S35" s="180">
        <f t="shared" ref="S35" si="4">SUM(S17:S34)</f>
        <v>38625.957170739843</v>
      </c>
      <c r="T35" s="182"/>
      <c r="U35" s="180">
        <f t="shared" ref="U35" si="5">SUM(U17:U34)</f>
        <v>48570.525707366112</v>
      </c>
      <c r="V35" s="182"/>
      <c r="W35" s="180">
        <f t="shared" ref="W35" si="6">SUM(W17:W34)</f>
        <v>97206.606236293155</v>
      </c>
      <c r="X35" s="182"/>
      <c r="Y35" s="180">
        <f t="shared" ref="Y35:AA35" si="7">SUM(Y17:Y34)</f>
        <v>103629.41621379839</v>
      </c>
      <c r="Z35" s="182"/>
      <c r="AA35" s="180">
        <f t="shared" si="7"/>
        <v>7606.5758397583886</v>
      </c>
    </row>
    <row r="36" spans="2:27" ht="62.25" customHeight="1" thickTop="1" x14ac:dyDescent="0.25">
      <c r="B36" s="217" t="s">
        <v>27</v>
      </c>
      <c r="C36" s="217"/>
      <c r="D36" s="217"/>
      <c r="E36" s="217"/>
      <c r="F36" s="217"/>
      <c r="G36" s="217"/>
      <c r="H36" s="217"/>
      <c r="I36" s="217"/>
      <c r="J36" s="217"/>
      <c r="K36" s="217"/>
      <c r="L36" s="217"/>
    </row>
    <row r="37" spans="2:27" ht="12.75" customHeight="1" x14ac:dyDescent="0.25">
      <c r="B37" s="158" t="s">
        <v>390</v>
      </c>
      <c r="C37" s="159"/>
      <c r="Q37" s="174"/>
    </row>
    <row r="38" spans="2:27" x14ac:dyDescent="0.25">
      <c r="B38" s="145"/>
    </row>
    <row r="39" spans="2:27" ht="15.75" x14ac:dyDescent="0.25">
      <c r="B39" s="191" t="s">
        <v>385</v>
      </c>
      <c r="C39" s="191"/>
      <c r="D39" s="191"/>
      <c r="E39" s="191"/>
      <c r="F39" s="191"/>
      <c r="G39" s="191"/>
      <c r="H39" s="191"/>
      <c r="I39" s="191"/>
      <c r="J39" s="191"/>
      <c r="K39" s="191"/>
      <c r="L39" s="192"/>
      <c r="M39" s="192"/>
      <c r="N39" s="192"/>
      <c r="O39" s="192"/>
      <c r="P39" s="192"/>
      <c r="Q39" s="192"/>
    </row>
    <row r="40" spans="2:27" ht="15.75" x14ac:dyDescent="0.25">
      <c r="B40" s="191" t="s">
        <v>386</v>
      </c>
      <c r="C40" s="191"/>
      <c r="D40" s="191"/>
      <c r="E40" s="191"/>
      <c r="F40" s="191"/>
      <c r="G40" s="191"/>
      <c r="H40" s="191"/>
      <c r="I40" s="191"/>
      <c r="J40" s="191"/>
      <c r="K40" s="191"/>
      <c r="L40" s="192"/>
      <c r="M40" s="192"/>
      <c r="N40" s="192"/>
      <c r="O40" s="192"/>
      <c r="P40" s="192"/>
      <c r="Q40" s="192"/>
    </row>
    <row r="41" spans="2:27" ht="15.75" x14ac:dyDescent="0.25">
      <c r="B41" s="191" t="s">
        <v>384</v>
      </c>
      <c r="C41" s="191"/>
      <c r="D41" s="191"/>
      <c r="E41" s="191"/>
      <c r="F41" s="191"/>
      <c r="G41" s="191"/>
      <c r="H41" s="191"/>
      <c r="I41" s="191"/>
      <c r="J41" s="191"/>
      <c r="K41" s="191"/>
      <c r="L41" s="192"/>
      <c r="M41" s="192"/>
      <c r="N41" s="192"/>
      <c r="O41" s="192"/>
      <c r="P41" s="192"/>
      <c r="Q41" s="192"/>
    </row>
  </sheetData>
  <sheetProtection algorithmName="SHA-512" hashValue="aW573h1N669dlcCZFS4C2np55f/RXltWjVExKV3VYvzMI9SWa+86wpzSMufTDvt1QgXOfzhXb6fJqkHn4OYcCw==" saltValue="UxcTABnu1GcTQLJ1xjwoUA==" spinCount="100000" sheet="1" objects="1" scenarios="1"/>
  <mergeCells count="11">
    <mergeCell ref="C7:G7"/>
    <mergeCell ref="C1:G2"/>
    <mergeCell ref="C3:G3"/>
    <mergeCell ref="C4:G4"/>
    <mergeCell ref="C5:G5"/>
    <mergeCell ref="C6:G6"/>
    <mergeCell ref="B36:L36"/>
    <mergeCell ref="E9:G9"/>
    <mergeCell ref="E10:G12"/>
    <mergeCell ref="C15:AA15"/>
    <mergeCell ref="C14:AA14"/>
  </mergeCells>
  <conditionalFormatting sqref="C17:K34 M17:N34">
    <cfRule type="cellIs" dxfId="14" priority="7" operator="lessThan">
      <formula>0</formula>
    </cfRule>
  </conditionalFormatting>
  <conditionalFormatting sqref="Q17:Q34">
    <cfRule type="cellIs" dxfId="13" priority="6" operator="lessThan">
      <formula>0</formula>
    </cfRule>
  </conditionalFormatting>
  <conditionalFormatting sqref="S17:S34">
    <cfRule type="cellIs" dxfId="12" priority="5" operator="lessThan">
      <formula>0</formula>
    </cfRule>
  </conditionalFormatting>
  <conditionalFormatting sqref="U17:U34">
    <cfRule type="cellIs" dxfId="11" priority="4" operator="lessThan">
      <formula>0</formula>
    </cfRule>
  </conditionalFormatting>
  <conditionalFormatting sqref="W17:W34">
    <cfRule type="cellIs" dxfId="10" priority="3" operator="lessThan">
      <formula>0</formula>
    </cfRule>
  </conditionalFormatting>
  <conditionalFormatting sqref="Y17:Y34">
    <cfRule type="cellIs" dxfId="9" priority="2" operator="lessThan">
      <formula>0</formula>
    </cfRule>
  </conditionalFormatting>
  <conditionalFormatting sqref="AA17:AA34">
    <cfRule type="cellIs" dxfId="8" priority="1" operator="lessThan">
      <formula>0</formula>
    </cfRule>
  </conditionalFormatting>
  <pageMargins left="0.2" right="0.2" top="0.25" bottom="0.25" header="0.3" footer="0.2"/>
  <pageSetup paperSize="5" scale="6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F09777-E4DD-43B5-9E5D-9A4198CD191D}">
          <x14:formula1>
            <xm:f>'Local dist eligible'!$M$3:$M$136</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C1EE-C341-4C16-9A2C-D135959185AC}">
  <dimension ref="A1:O134"/>
  <sheetViews>
    <sheetView workbookViewId="0">
      <selection activeCell="I28" sqref="I28"/>
    </sheetView>
  </sheetViews>
  <sheetFormatPr defaultRowHeight="15" x14ac:dyDescent="0.25"/>
  <cols>
    <col min="1" max="1" width="22.42578125" bestFit="1" customWidth="1"/>
    <col min="2" max="2" width="22.140625" bestFit="1" customWidth="1"/>
    <col min="4" max="4" width="12.7109375" customWidth="1"/>
    <col min="5" max="15" width="12.7109375" style="2" customWidth="1"/>
  </cols>
  <sheetData>
    <row r="1" spans="1:15" s="4" customFormat="1" x14ac:dyDescent="0.25">
      <c r="D1" s="4" t="s">
        <v>49</v>
      </c>
      <c r="E1" s="146" t="s">
        <v>40</v>
      </c>
      <c r="F1" s="146" t="s">
        <v>41</v>
      </c>
      <c r="G1" s="146" t="s">
        <v>50</v>
      </c>
      <c r="H1" s="146" t="s">
        <v>44</v>
      </c>
      <c r="I1" s="146" t="s">
        <v>45</v>
      </c>
      <c r="J1" s="146" t="s">
        <v>51</v>
      </c>
      <c r="K1" s="146" t="s">
        <v>47</v>
      </c>
      <c r="L1" s="146" t="s">
        <v>48</v>
      </c>
      <c r="M1" s="146" t="s">
        <v>388</v>
      </c>
      <c r="N1" s="146" t="s">
        <v>52</v>
      </c>
      <c r="O1" s="146" t="s">
        <v>26</v>
      </c>
    </row>
    <row r="2" spans="1:15" ht="15.75" x14ac:dyDescent="0.25">
      <c r="A2" s="22" t="s">
        <v>53</v>
      </c>
      <c r="B2" s="84">
        <v>3.480034800348E-3</v>
      </c>
      <c r="D2" s="152" t="s">
        <v>49</v>
      </c>
      <c r="E2" s="154" t="s">
        <v>40</v>
      </c>
      <c r="F2" s="154" t="s">
        <v>41</v>
      </c>
      <c r="G2" s="154" t="s">
        <v>50</v>
      </c>
      <c r="H2" s="154" t="s">
        <v>44</v>
      </c>
      <c r="I2" s="154" t="s">
        <v>45</v>
      </c>
      <c r="J2" s="154" t="s">
        <v>51</v>
      </c>
      <c r="K2" s="154" t="s">
        <v>47</v>
      </c>
      <c r="L2" s="154" t="s">
        <v>48</v>
      </c>
      <c r="M2" s="154" t="s">
        <v>388</v>
      </c>
      <c r="N2" s="154" t="s">
        <v>52</v>
      </c>
      <c r="O2" s="154" t="s">
        <v>26</v>
      </c>
    </row>
    <row r="3" spans="1:15" ht="15.75" x14ac:dyDescent="0.25">
      <c r="A3" s="30" t="s">
        <v>54</v>
      </c>
      <c r="B3" s="85">
        <v>8.6300863008630102E-3</v>
      </c>
      <c r="D3" t="s">
        <v>55</v>
      </c>
      <c r="E3" s="2">
        <v>4066309.1845544642</v>
      </c>
      <c r="F3" s="2">
        <v>0</v>
      </c>
      <c r="G3" s="2">
        <v>0</v>
      </c>
      <c r="H3" s="2">
        <v>0</v>
      </c>
      <c r="I3" s="2">
        <v>0</v>
      </c>
      <c r="J3" s="2">
        <v>0</v>
      </c>
      <c r="K3" s="2">
        <v>0</v>
      </c>
      <c r="L3" s="2">
        <v>0</v>
      </c>
      <c r="M3" s="2">
        <v>0</v>
      </c>
      <c r="N3" s="2">
        <v>0</v>
      </c>
      <c r="O3" s="2">
        <f>SUM(E3:N3)</f>
        <v>4066309.1845544642</v>
      </c>
    </row>
    <row r="4" spans="1:15" ht="15.75" x14ac:dyDescent="0.25">
      <c r="A4" s="22" t="s">
        <v>56</v>
      </c>
      <c r="B4" s="84">
        <v>1.1620116201162E-2</v>
      </c>
      <c r="D4" t="s">
        <v>57</v>
      </c>
      <c r="E4" s="2">
        <v>7053426.6779029062</v>
      </c>
      <c r="F4" s="2">
        <v>17641954.549452249</v>
      </c>
      <c r="G4" s="2">
        <v>1046572.82</v>
      </c>
      <c r="H4" s="2">
        <v>0</v>
      </c>
      <c r="I4" s="2">
        <v>0</v>
      </c>
      <c r="J4" s="2">
        <v>0</v>
      </c>
      <c r="K4" s="2">
        <v>0</v>
      </c>
      <c r="L4" s="2">
        <v>0</v>
      </c>
      <c r="M4" s="2">
        <v>0</v>
      </c>
      <c r="N4" s="2">
        <v>9314790.0148085263</v>
      </c>
      <c r="O4" s="2">
        <f t="shared" ref="O4:O20" si="0">SUM(E4:N4)</f>
        <v>35056744.062163681</v>
      </c>
    </row>
    <row r="5" spans="1:15" ht="15.75" x14ac:dyDescent="0.25">
      <c r="A5" s="30" t="s">
        <v>58</v>
      </c>
      <c r="B5" s="85">
        <v>2.130021300213E-3</v>
      </c>
      <c r="D5" t="s">
        <v>59</v>
      </c>
      <c r="E5" s="2">
        <v>8052287.5034029065</v>
      </c>
      <c r="F5" s="2">
        <v>0</v>
      </c>
      <c r="G5" s="2">
        <v>1231262.142</v>
      </c>
      <c r="H5" s="2">
        <v>1411912.9063636365</v>
      </c>
      <c r="I5" s="2">
        <v>1562275.0922727271</v>
      </c>
      <c r="J5" s="2">
        <v>13759218.130909091</v>
      </c>
      <c r="K5" s="2">
        <v>1969258.7623636364</v>
      </c>
      <c r="L5" s="2">
        <v>3760201.6499999994</v>
      </c>
      <c r="M5" s="2">
        <v>0</v>
      </c>
      <c r="N5" s="2">
        <v>10782348.652297731</v>
      </c>
      <c r="O5" s="2">
        <f t="shared" si="0"/>
        <v>42528764.839609727</v>
      </c>
    </row>
    <row r="6" spans="1:15" ht="15.75" x14ac:dyDescent="0.25">
      <c r="A6" s="22" t="s">
        <v>60</v>
      </c>
      <c r="B6" s="84">
        <v>1.0000100001E-3</v>
      </c>
      <c r="D6" t="s">
        <v>61</v>
      </c>
      <c r="E6" s="2">
        <v>5348881.5036738273</v>
      </c>
      <c r="F6" s="2">
        <v>0</v>
      </c>
      <c r="G6" s="2">
        <v>0</v>
      </c>
      <c r="H6" s="2">
        <v>1537687.9922727272</v>
      </c>
      <c r="I6" s="2">
        <v>1563302.1640909088</v>
      </c>
      <c r="J6" s="2">
        <v>0</v>
      </c>
      <c r="K6" s="2">
        <v>1569992.8693636362</v>
      </c>
      <c r="L6" s="2">
        <v>0</v>
      </c>
      <c r="M6" s="2">
        <v>2154815.7999999998</v>
      </c>
      <c r="N6" s="2">
        <v>4198799.4893470705</v>
      </c>
      <c r="O6" s="2">
        <f t="shared" si="0"/>
        <v>16373479.818748169</v>
      </c>
    </row>
    <row r="7" spans="1:15" ht="15.75" x14ac:dyDescent="0.25">
      <c r="A7" s="30" t="s">
        <v>62</v>
      </c>
      <c r="B7" s="85">
        <v>2.9900299002989998E-3</v>
      </c>
      <c r="D7" t="s">
        <v>63</v>
      </c>
      <c r="E7" s="2">
        <v>5348881.5036225244</v>
      </c>
      <c r="F7" s="2">
        <v>0</v>
      </c>
      <c r="G7" s="2">
        <v>0</v>
      </c>
      <c r="H7" s="2">
        <v>1537687.9922727272</v>
      </c>
      <c r="I7" s="2">
        <v>1563302.1640909088</v>
      </c>
      <c r="J7" s="2">
        <v>0</v>
      </c>
      <c r="K7" s="2">
        <v>3137498.028272727</v>
      </c>
      <c r="L7" s="2">
        <v>1495111.0954545455</v>
      </c>
      <c r="M7" s="2">
        <v>0</v>
      </c>
      <c r="N7" s="2">
        <v>4606745.8283282593</v>
      </c>
      <c r="O7" s="2">
        <f t="shared" si="0"/>
        <v>17689226.612041693</v>
      </c>
    </row>
    <row r="8" spans="1:15" ht="15.75" x14ac:dyDescent="0.25">
      <c r="A8" s="22" t="s">
        <v>64</v>
      </c>
      <c r="B8" s="84">
        <v>1.3300133001329999E-3</v>
      </c>
      <c r="D8" t="s">
        <v>65</v>
      </c>
      <c r="E8" s="2">
        <v>5348881.5035712225</v>
      </c>
      <c r="F8" s="2">
        <v>821074.79760002682</v>
      </c>
      <c r="G8" s="2">
        <v>0</v>
      </c>
      <c r="H8" s="2">
        <v>1537687.9922727272</v>
      </c>
      <c r="I8" s="2">
        <v>1563302.1640909088</v>
      </c>
      <c r="J8" s="2">
        <v>0</v>
      </c>
      <c r="K8" s="2">
        <v>3137498.028272727</v>
      </c>
      <c r="L8" s="2">
        <v>1495111.0954545455</v>
      </c>
      <c r="M8" s="2">
        <v>0</v>
      </c>
      <c r="N8" s="2">
        <v>4907806.5874294583</v>
      </c>
      <c r="O8" s="2">
        <f t="shared" si="0"/>
        <v>18811362.168691617</v>
      </c>
    </row>
    <row r="9" spans="1:15" ht="15.75" x14ac:dyDescent="0.25">
      <c r="A9" s="30" t="s">
        <v>11</v>
      </c>
      <c r="B9" s="85">
        <v>1.3780137801378E-2</v>
      </c>
      <c r="D9" t="s">
        <v>66</v>
      </c>
      <c r="E9" s="2">
        <v>2037923.85375</v>
      </c>
      <c r="F9" s="2">
        <v>821074.79246976785</v>
      </c>
      <c r="G9" s="2">
        <v>0</v>
      </c>
      <c r="H9" s="2">
        <v>1537687.9922727272</v>
      </c>
      <c r="I9" s="2">
        <v>1563302.1640909088</v>
      </c>
      <c r="J9" s="2">
        <v>0</v>
      </c>
      <c r="K9" s="2">
        <v>3137498.028272727</v>
      </c>
      <c r="L9" s="2">
        <v>1495111.0954545455</v>
      </c>
      <c r="M9" s="2">
        <v>0</v>
      </c>
      <c r="N9" s="2">
        <v>3693788.7806139146</v>
      </c>
      <c r="O9" s="2">
        <f t="shared" si="0"/>
        <v>14286386.706924591</v>
      </c>
    </row>
    <row r="10" spans="1:15" ht="15.75" x14ac:dyDescent="0.25">
      <c r="A10" s="22" t="s">
        <v>67</v>
      </c>
      <c r="B10" s="84">
        <v>8.3500835008350101E-3</v>
      </c>
      <c r="D10" t="s">
        <v>68</v>
      </c>
      <c r="E10" s="2">
        <v>6290929.0926684234</v>
      </c>
      <c r="F10" s="2">
        <v>821074.7822092498</v>
      </c>
      <c r="G10" s="2">
        <v>0</v>
      </c>
      <c r="H10" s="2">
        <v>1537687.9922727272</v>
      </c>
      <c r="I10" s="2">
        <v>1563302.1640909088</v>
      </c>
      <c r="J10" s="2">
        <v>0</v>
      </c>
      <c r="K10" s="2">
        <v>3137498.028272727</v>
      </c>
      <c r="L10" s="2">
        <v>1495111.0954545455</v>
      </c>
      <c r="M10" s="2">
        <v>0</v>
      </c>
      <c r="N10" s="2">
        <v>5253224.0311218137</v>
      </c>
      <c r="O10" s="2">
        <f t="shared" si="0"/>
        <v>20098827.186090395</v>
      </c>
    </row>
    <row r="11" spans="1:15" ht="15.75" x14ac:dyDescent="0.25">
      <c r="A11" s="30" t="s">
        <v>69</v>
      </c>
      <c r="B11" s="85">
        <v>3.7000370003699998E-4</v>
      </c>
      <c r="D11" t="s">
        <v>70</v>
      </c>
      <c r="E11" s="2">
        <v>6290929.0926684234</v>
      </c>
      <c r="F11" s="2">
        <v>1045371.831263311</v>
      </c>
      <c r="G11" s="2">
        <v>0</v>
      </c>
      <c r="H11" s="2">
        <v>1537687.9922727272</v>
      </c>
      <c r="I11" s="2">
        <v>1563302.1640909088</v>
      </c>
      <c r="J11" s="2">
        <v>0</v>
      </c>
      <c r="K11" s="2">
        <v>2980747.5160909086</v>
      </c>
      <c r="L11" s="2">
        <v>1495111.0954545455</v>
      </c>
      <c r="M11" s="2">
        <v>0</v>
      </c>
      <c r="N11" s="2">
        <v>5284752.881441636</v>
      </c>
      <c r="O11" s="2">
        <f t="shared" si="0"/>
        <v>20197902.573282462</v>
      </c>
    </row>
    <row r="12" spans="1:15" ht="15.75" x14ac:dyDescent="0.25">
      <c r="A12" s="22" t="s">
        <v>71</v>
      </c>
      <c r="B12" s="84">
        <v>7.7700777007770096E-3</v>
      </c>
      <c r="D12" t="s">
        <v>72</v>
      </c>
      <c r="E12" s="2">
        <v>6290929.0926684234</v>
      </c>
      <c r="F12" s="2">
        <v>1045371.8363935698</v>
      </c>
      <c r="G12" s="2">
        <v>0</v>
      </c>
      <c r="H12" s="2">
        <v>1537687.9922727272</v>
      </c>
      <c r="I12" s="2">
        <v>0</v>
      </c>
      <c r="J12" s="2">
        <v>0</v>
      </c>
      <c r="K12" s="2">
        <v>2823996.9992727269</v>
      </c>
      <c r="L12" s="2">
        <v>2265090.5545454542</v>
      </c>
      <c r="M12" s="2">
        <v>0</v>
      </c>
      <c r="N12" s="2">
        <v>4914921.9088227311</v>
      </c>
      <c r="O12" s="2">
        <f t="shared" si="0"/>
        <v>18877998.383975632</v>
      </c>
    </row>
    <row r="13" spans="1:15" ht="15.75" x14ac:dyDescent="0.25">
      <c r="A13" s="30" t="s">
        <v>73</v>
      </c>
      <c r="B13" s="85">
        <v>1.470014700147E-3</v>
      </c>
      <c r="D13" t="s">
        <v>74</v>
      </c>
      <c r="E13" s="2">
        <v>5288160.791711376</v>
      </c>
      <c r="F13" s="2">
        <v>1045371.831263311</v>
      </c>
      <c r="G13" s="2">
        <v>0</v>
      </c>
      <c r="H13" s="2">
        <v>1537687.9922727272</v>
      </c>
      <c r="I13" s="2">
        <v>0</v>
      </c>
      <c r="J13" s="2">
        <v>0</v>
      </c>
      <c r="K13" s="2">
        <v>2821509.2934545451</v>
      </c>
      <c r="L13" s="2">
        <v>2265090.5545454542</v>
      </c>
      <c r="M13" s="2">
        <v>0</v>
      </c>
      <c r="N13" s="2">
        <v>4546435.3505907189</v>
      </c>
      <c r="O13" s="2">
        <f t="shared" si="0"/>
        <v>17504255.813838132</v>
      </c>
    </row>
    <row r="14" spans="1:15" ht="15.75" x14ac:dyDescent="0.25">
      <c r="A14" s="22" t="s">
        <v>75</v>
      </c>
      <c r="B14" s="84">
        <v>3.6200362003620001E-3</v>
      </c>
      <c r="D14" t="s">
        <v>76</v>
      </c>
      <c r="E14" s="2">
        <v>5288160.791711376</v>
      </c>
      <c r="F14" s="2">
        <v>0</v>
      </c>
      <c r="G14" s="2">
        <v>0</v>
      </c>
      <c r="H14" s="2">
        <v>1537687.9922727272</v>
      </c>
      <c r="I14" s="2">
        <v>0</v>
      </c>
      <c r="J14" s="2">
        <v>0</v>
      </c>
      <c r="K14" s="2">
        <v>2821509.2934545451</v>
      </c>
      <c r="L14" s="2">
        <v>2265090.5545454542</v>
      </c>
      <c r="M14" s="2">
        <v>0</v>
      </c>
      <c r="N14" s="2">
        <v>4163132.3457941711</v>
      </c>
      <c r="O14" s="2">
        <f t="shared" si="0"/>
        <v>16075580.977778275</v>
      </c>
    </row>
    <row r="15" spans="1:15" ht="15.75" x14ac:dyDescent="0.25">
      <c r="A15" s="30" t="s">
        <v>77</v>
      </c>
      <c r="B15" s="85">
        <v>4.3400434004340002E-3</v>
      </c>
      <c r="D15" t="s">
        <v>78</v>
      </c>
      <c r="E15" s="2">
        <v>5288160.791711376</v>
      </c>
      <c r="F15" s="2">
        <v>0</v>
      </c>
      <c r="G15" s="2">
        <v>0</v>
      </c>
      <c r="H15" s="2">
        <v>1537687.9922727272</v>
      </c>
      <c r="I15" s="2">
        <v>0</v>
      </c>
      <c r="J15" s="2">
        <v>0</v>
      </c>
      <c r="K15" s="2">
        <v>0</v>
      </c>
      <c r="L15" s="2">
        <v>2265090.5545454542</v>
      </c>
      <c r="M15" s="2">
        <v>0</v>
      </c>
      <c r="N15" s="2">
        <v>3250291.103794171</v>
      </c>
      <c r="O15" s="2">
        <f t="shared" si="0"/>
        <v>12341230.442323728</v>
      </c>
    </row>
    <row r="16" spans="1:15" ht="15.75" x14ac:dyDescent="0.25">
      <c r="A16" s="22" t="s">
        <v>79</v>
      </c>
      <c r="B16" s="84">
        <v>1.0700107001070001E-3</v>
      </c>
      <c r="D16" t="s">
        <v>80</v>
      </c>
      <c r="E16" s="2">
        <v>5288160.791711376</v>
      </c>
      <c r="F16" s="2">
        <v>0</v>
      </c>
      <c r="G16" s="2">
        <v>0</v>
      </c>
      <c r="H16" s="2">
        <v>1537687.9922727272</v>
      </c>
      <c r="I16" s="2">
        <v>0</v>
      </c>
      <c r="J16" s="2">
        <v>0</v>
      </c>
      <c r="K16" s="2">
        <v>0</v>
      </c>
      <c r="L16" s="2">
        <v>2265090.5545454542</v>
      </c>
      <c r="M16" s="2">
        <v>0</v>
      </c>
      <c r="N16" s="2">
        <v>3250291.103794171</v>
      </c>
      <c r="O16" s="2">
        <f t="shared" si="0"/>
        <v>12341230.442323728</v>
      </c>
    </row>
    <row r="17" spans="1:15" ht="15.75" x14ac:dyDescent="0.25">
      <c r="A17" s="30" t="s">
        <v>81</v>
      </c>
      <c r="B17" s="85">
        <v>9.29009290092901E-3</v>
      </c>
      <c r="D17" t="s">
        <v>82</v>
      </c>
      <c r="E17" s="2">
        <v>5288160.791711376</v>
      </c>
      <c r="F17" s="2">
        <v>0</v>
      </c>
      <c r="G17" s="2">
        <v>0</v>
      </c>
      <c r="H17" s="2">
        <v>1537687.9922727272</v>
      </c>
      <c r="I17" s="2">
        <v>0</v>
      </c>
      <c r="J17" s="2">
        <v>0</v>
      </c>
      <c r="K17" s="2">
        <v>0</v>
      </c>
      <c r="L17" s="2">
        <v>2265090.5545454542</v>
      </c>
      <c r="M17" s="2">
        <v>0</v>
      </c>
      <c r="N17" s="2">
        <v>3250291.103794171</v>
      </c>
      <c r="O17" s="2">
        <f t="shared" si="0"/>
        <v>12341230.442323728</v>
      </c>
    </row>
    <row r="18" spans="1:15" ht="15.75" x14ac:dyDescent="0.25">
      <c r="A18" s="22" t="s">
        <v>83</v>
      </c>
      <c r="B18" s="84">
        <v>1.270012700127E-3</v>
      </c>
      <c r="D18" t="s">
        <v>84</v>
      </c>
      <c r="E18" s="2">
        <v>5288160.791711376</v>
      </c>
      <c r="F18" s="2">
        <v>0</v>
      </c>
      <c r="G18" s="2">
        <v>0</v>
      </c>
      <c r="H18" s="2">
        <v>0</v>
      </c>
      <c r="I18" s="2">
        <v>0</v>
      </c>
      <c r="J18" s="2">
        <v>0</v>
      </c>
      <c r="K18" s="2">
        <v>0</v>
      </c>
      <c r="L18" s="2">
        <v>2265090.5545454542</v>
      </c>
      <c r="M18" s="2">
        <v>0</v>
      </c>
      <c r="N18" s="2">
        <v>2686472.1732941712</v>
      </c>
      <c r="O18" s="2">
        <f t="shared" si="0"/>
        <v>10239723.519551001</v>
      </c>
    </row>
    <row r="19" spans="1:15" ht="15.75" x14ac:dyDescent="0.25">
      <c r="A19" s="30" t="s">
        <v>85</v>
      </c>
      <c r="B19" s="85">
        <v>7.8000780007800004E-4</v>
      </c>
      <c r="D19" t="s">
        <v>86</v>
      </c>
      <c r="E19" s="2">
        <v>5288160.791711376</v>
      </c>
      <c r="F19" s="2">
        <v>0</v>
      </c>
      <c r="G19" s="2">
        <v>0</v>
      </c>
      <c r="H19" s="2">
        <v>0</v>
      </c>
      <c r="I19" s="2">
        <v>0</v>
      </c>
      <c r="J19" s="2">
        <v>0</v>
      </c>
      <c r="K19" s="2">
        <v>0</v>
      </c>
      <c r="L19" s="2">
        <v>2265090.5545454542</v>
      </c>
      <c r="M19" s="2">
        <v>0</v>
      </c>
      <c r="N19" s="2">
        <v>2686472.1732941712</v>
      </c>
      <c r="O19" s="2">
        <f t="shared" si="0"/>
        <v>10239723.519551001</v>
      </c>
    </row>
    <row r="20" spans="1:15" ht="15.75" x14ac:dyDescent="0.25">
      <c r="A20" s="22" t="s">
        <v>87</v>
      </c>
      <c r="B20" s="84">
        <v>4.5600456004559996E-3</v>
      </c>
      <c r="D20" t="s">
        <v>88</v>
      </c>
      <c r="E20" s="2">
        <v>5288160.791711376</v>
      </c>
      <c r="F20" s="2">
        <v>0</v>
      </c>
      <c r="G20" s="2">
        <v>0</v>
      </c>
      <c r="H20" s="2">
        <v>0</v>
      </c>
      <c r="I20" s="2">
        <v>0</v>
      </c>
      <c r="J20" s="2">
        <v>0</v>
      </c>
      <c r="K20" s="2">
        <v>0</v>
      </c>
      <c r="L20" s="2">
        <v>0</v>
      </c>
      <c r="M20" s="2">
        <v>0</v>
      </c>
      <c r="N20" s="2">
        <v>1938992.2902941711</v>
      </c>
      <c r="O20" s="2">
        <f t="shared" si="0"/>
        <v>7227153.0820055474</v>
      </c>
    </row>
    <row r="21" spans="1:15" ht="15.75" customHeight="1" x14ac:dyDescent="0.25">
      <c r="A21" s="22" t="s">
        <v>89</v>
      </c>
      <c r="B21" s="84">
        <v>3.1800318003180001E-3</v>
      </c>
      <c r="D21" t="s">
        <v>26</v>
      </c>
      <c r="E21" s="2">
        <f>SUM(E3:E20)</f>
        <v>98434665.342174113</v>
      </c>
      <c r="F21" s="2">
        <f t="shared" ref="F21:O21" si="1">SUM(F3:F20)</f>
        <v>23241294.420651488</v>
      </c>
      <c r="G21" s="2">
        <f t="shared" si="1"/>
        <v>2277834.9619999998</v>
      </c>
      <c r="H21" s="2">
        <f t="shared" si="1"/>
        <v>19864168.813636363</v>
      </c>
      <c r="I21" s="2">
        <f t="shared" si="1"/>
        <v>10942088.076818181</v>
      </c>
      <c r="J21" s="2">
        <f t="shared" si="1"/>
        <v>13759218.130909091</v>
      </c>
      <c r="K21" s="2">
        <f t="shared" si="1"/>
        <v>27537006.847090911</v>
      </c>
      <c r="L21" s="2">
        <f t="shared" si="1"/>
        <v>29356481.563636363</v>
      </c>
      <c r="M21" s="2">
        <f t="shared" si="1"/>
        <v>2154815.7999999998</v>
      </c>
      <c r="N21" s="2">
        <f t="shared" si="1"/>
        <v>78729555.818861052</v>
      </c>
      <c r="O21" s="2">
        <f t="shared" si="1"/>
        <v>306297129.77577752</v>
      </c>
    </row>
    <row r="22" spans="1:15" ht="15.75" x14ac:dyDescent="0.25">
      <c r="A22" s="22" t="s">
        <v>90</v>
      </c>
      <c r="B22" s="84">
        <v>4.4000440004400001E-3</v>
      </c>
    </row>
    <row r="23" spans="1:15" ht="15.75" x14ac:dyDescent="0.25">
      <c r="A23" s="22" t="s">
        <v>91</v>
      </c>
      <c r="B23" s="84">
        <v>7.3000730007300005E-4</v>
      </c>
      <c r="D23" s="152"/>
      <c r="E23" s="154"/>
      <c r="F23" s="154"/>
      <c r="G23" s="154"/>
      <c r="H23" s="154"/>
      <c r="I23" s="154"/>
      <c r="J23" s="154"/>
      <c r="K23" s="154"/>
      <c r="L23" s="154"/>
      <c r="M23" s="154"/>
      <c r="N23" s="154"/>
      <c r="O23" s="154"/>
    </row>
    <row r="24" spans="1:15" ht="15.75" x14ac:dyDescent="0.25">
      <c r="A24" s="22" t="s">
        <v>92</v>
      </c>
      <c r="B24" s="84">
        <v>1.3800138001379999E-3</v>
      </c>
    </row>
    <row r="25" spans="1:15" ht="15.75" x14ac:dyDescent="0.25">
      <c r="A25" s="22" t="s">
        <v>93</v>
      </c>
      <c r="B25" s="84">
        <v>4.6300463004629996E-3</v>
      </c>
    </row>
    <row r="26" spans="1:15" ht="15.75" x14ac:dyDescent="0.25">
      <c r="A26" s="22" t="s">
        <v>94</v>
      </c>
      <c r="B26" s="84">
        <v>2.9120291202911999E-2</v>
      </c>
    </row>
    <row r="27" spans="1:15" ht="15.75" x14ac:dyDescent="0.25">
      <c r="A27" s="22" t="s">
        <v>95</v>
      </c>
      <c r="B27" s="84">
        <v>4.0880408804087998E-2</v>
      </c>
    </row>
    <row r="28" spans="1:15" ht="15.75" customHeight="1" x14ac:dyDescent="0.25">
      <c r="A28" s="22" t="s">
        <v>96</v>
      </c>
      <c r="B28" s="84">
        <v>1.250012500125E-3</v>
      </c>
    </row>
    <row r="29" spans="1:15" ht="15.75" x14ac:dyDescent="0.25">
      <c r="A29" s="22" t="s">
        <v>97</v>
      </c>
      <c r="B29" s="84">
        <v>2.8300283002829999E-3</v>
      </c>
    </row>
    <row r="30" spans="1:15" ht="15.75" x14ac:dyDescent="0.25">
      <c r="A30" s="22" t="s">
        <v>98</v>
      </c>
      <c r="B30" s="84">
        <v>1.0000100001E-3</v>
      </c>
    </row>
    <row r="31" spans="1:15" ht="15.75" x14ac:dyDescent="0.25">
      <c r="A31" s="22" t="s">
        <v>99</v>
      </c>
      <c r="B31" s="84">
        <v>7.0000700006999999E-4</v>
      </c>
    </row>
    <row r="32" spans="1:15" ht="15.75" x14ac:dyDescent="0.25">
      <c r="A32" s="22" t="s">
        <v>100</v>
      </c>
      <c r="B32" s="84">
        <v>7.9000790007900095E-3</v>
      </c>
    </row>
    <row r="33" spans="1:2" ht="15.75" x14ac:dyDescent="0.25">
      <c r="A33" s="22" t="s">
        <v>101</v>
      </c>
      <c r="B33" s="84">
        <v>1.0000100001E-3</v>
      </c>
    </row>
    <row r="34" spans="1:2" ht="15.75" x14ac:dyDescent="0.25">
      <c r="A34" s="22" t="s">
        <v>102</v>
      </c>
      <c r="B34" s="84">
        <v>6.3700637006370098E-3</v>
      </c>
    </row>
    <row r="35" spans="1:2" ht="15.75" x14ac:dyDescent="0.25">
      <c r="A35" s="22" t="s">
        <v>103</v>
      </c>
      <c r="B35" s="84">
        <v>9.4800948009480107E-3</v>
      </c>
    </row>
    <row r="36" spans="1:2" ht="15.75" x14ac:dyDescent="0.25">
      <c r="A36" s="22" t="s">
        <v>104</v>
      </c>
      <c r="B36" s="84">
        <v>1.960019600196E-3</v>
      </c>
    </row>
    <row r="37" spans="1:2" ht="15.75" x14ac:dyDescent="0.25">
      <c r="A37" s="22" t="s">
        <v>105</v>
      </c>
      <c r="B37" s="84">
        <v>5.0000500005000002E-4</v>
      </c>
    </row>
    <row r="38" spans="1:2" ht="15.75" x14ac:dyDescent="0.25">
      <c r="A38" s="22" t="s">
        <v>106</v>
      </c>
      <c r="B38" s="84">
        <v>1.010010100101E-3</v>
      </c>
    </row>
    <row r="39" spans="1:2" ht="15.75" x14ac:dyDescent="0.25">
      <c r="A39" s="22" t="s">
        <v>36</v>
      </c>
      <c r="B39" s="84">
        <v>8.6720867208672101E-2</v>
      </c>
    </row>
    <row r="40" spans="1:2" ht="15.75" x14ac:dyDescent="0.25">
      <c r="A40" s="22" t="s">
        <v>107</v>
      </c>
      <c r="B40" s="84">
        <v>2.6900269002689998E-3</v>
      </c>
    </row>
    <row r="41" spans="1:2" ht="15.75" x14ac:dyDescent="0.25">
      <c r="A41" s="22" t="s">
        <v>108</v>
      </c>
      <c r="B41" s="84">
        <v>1.0200102001020001E-3</v>
      </c>
    </row>
    <row r="42" spans="1:2" ht="15.75" x14ac:dyDescent="0.25">
      <c r="A42" s="22" t="s">
        <v>109</v>
      </c>
      <c r="B42" s="84">
        <v>1.2100121001209999E-2</v>
      </c>
    </row>
    <row r="43" spans="1:2" ht="15.75" x14ac:dyDescent="0.25">
      <c r="A43" s="22" t="s">
        <v>110</v>
      </c>
      <c r="B43" s="84">
        <v>1.820018200182E-3</v>
      </c>
    </row>
    <row r="44" spans="1:2" ht="15.75" x14ac:dyDescent="0.25">
      <c r="A44" s="22" t="s">
        <v>111</v>
      </c>
      <c r="B44" s="84">
        <v>1.940019400194E-3</v>
      </c>
    </row>
    <row r="45" spans="1:2" ht="15.75" x14ac:dyDescent="0.25">
      <c r="A45" s="22" t="s">
        <v>112</v>
      </c>
      <c r="B45" s="84">
        <v>9.5400954009540097E-3</v>
      </c>
    </row>
    <row r="46" spans="1:2" ht="15.75" x14ac:dyDescent="0.25">
      <c r="A46" s="22" t="s">
        <v>113</v>
      </c>
      <c r="B46" s="84">
        <v>7.9000790007899995E-4</v>
      </c>
    </row>
    <row r="47" spans="1:2" ht="15.75" x14ac:dyDescent="0.25">
      <c r="A47" s="22" t="s">
        <v>114</v>
      </c>
      <c r="B47" s="84">
        <v>1.2770127701276999E-2</v>
      </c>
    </row>
    <row r="48" spans="1:2" ht="15.75" x14ac:dyDescent="0.25">
      <c r="A48" s="22" t="s">
        <v>115</v>
      </c>
      <c r="B48" s="84">
        <v>5.2400524005239996E-3</v>
      </c>
    </row>
    <row r="49" spans="1:2" ht="15.75" x14ac:dyDescent="0.25">
      <c r="A49" s="22" t="s">
        <v>116</v>
      </c>
      <c r="B49" s="84">
        <v>1.3900139001390001E-3</v>
      </c>
    </row>
    <row r="50" spans="1:2" ht="15.75" x14ac:dyDescent="0.25">
      <c r="A50" s="22" t="s">
        <v>117</v>
      </c>
      <c r="B50" s="84">
        <v>4.0900409004089996E-3</v>
      </c>
    </row>
    <row r="51" spans="1:2" ht="15.75" x14ac:dyDescent="0.25">
      <c r="A51" s="22" t="s">
        <v>118</v>
      </c>
      <c r="B51" s="84">
        <v>4.2400424004239998E-3</v>
      </c>
    </row>
    <row r="52" spans="1:2" ht="15.75" x14ac:dyDescent="0.25">
      <c r="A52" s="22" t="s">
        <v>119</v>
      </c>
      <c r="B52" s="84">
        <v>2.2500225002249998E-3</v>
      </c>
    </row>
    <row r="53" spans="1:2" ht="15.75" x14ac:dyDescent="0.25">
      <c r="A53" s="22" t="s">
        <v>120</v>
      </c>
      <c r="B53" s="84">
        <v>2.2400224002240001E-3</v>
      </c>
    </row>
    <row r="54" spans="1:2" ht="15.75" x14ac:dyDescent="0.25">
      <c r="A54" s="22" t="s">
        <v>121</v>
      </c>
      <c r="B54" s="84">
        <v>1.7800178001780001E-3</v>
      </c>
    </row>
    <row r="55" spans="1:2" ht="15.75" x14ac:dyDescent="0.25">
      <c r="A55" s="22" t="s">
        <v>122</v>
      </c>
      <c r="B55" s="84">
        <v>1.2400124001240001E-3</v>
      </c>
    </row>
    <row r="56" spans="1:2" ht="15.75" x14ac:dyDescent="0.25">
      <c r="A56" s="22" t="s">
        <v>123</v>
      </c>
      <c r="B56" s="84">
        <v>3.5300353003529998E-3</v>
      </c>
    </row>
    <row r="57" spans="1:2" ht="15.75" x14ac:dyDescent="0.25">
      <c r="A57" s="22" t="s">
        <v>124</v>
      </c>
      <c r="B57" s="84">
        <v>1.5380153801538E-2</v>
      </c>
    </row>
    <row r="58" spans="1:2" ht="15.75" x14ac:dyDescent="0.25">
      <c r="A58" s="22" t="s">
        <v>125</v>
      </c>
      <c r="B58" s="84">
        <v>1.0790107901079E-2</v>
      </c>
    </row>
    <row r="59" spans="1:2" ht="15.75" x14ac:dyDescent="0.25">
      <c r="A59" s="22" t="s">
        <v>126</v>
      </c>
      <c r="B59" s="84">
        <v>5.2300523005230099E-3</v>
      </c>
    </row>
    <row r="60" spans="1:2" ht="15.75" x14ac:dyDescent="0.25">
      <c r="A60" s="22" t="s">
        <v>127</v>
      </c>
      <c r="B60" s="84">
        <v>4.4730447304473002E-2</v>
      </c>
    </row>
    <row r="61" spans="1:2" ht="15.75" x14ac:dyDescent="0.25">
      <c r="A61" s="22" t="s">
        <v>128</v>
      </c>
      <c r="B61" s="84">
        <v>1.2200122001220001E-2</v>
      </c>
    </row>
    <row r="62" spans="1:2" ht="15.75" x14ac:dyDescent="0.25">
      <c r="A62" s="22" t="s">
        <v>129</v>
      </c>
      <c r="B62" s="84">
        <v>2.30002300023E-4</v>
      </c>
    </row>
    <row r="63" spans="1:2" ht="15.75" x14ac:dyDescent="0.25">
      <c r="A63" s="22" t="s">
        <v>130</v>
      </c>
      <c r="B63" s="84">
        <v>3.4400344003439999E-3</v>
      </c>
    </row>
    <row r="64" spans="1:2" ht="15.75" x14ac:dyDescent="0.25">
      <c r="A64" s="22" t="s">
        <v>131</v>
      </c>
      <c r="B64" s="84">
        <v>3.5600356003560002E-3</v>
      </c>
    </row>
    <row r="65" spans="1:2" ht="15.75" x14ac:dyDescent="0.25">
      <c r="A65" s="22" t="s">
        <v>132</v>
      </c>
      <c r="B65" s="84">
        <v>6.1200612006120101E-3</v>
      </c>
    </row>
    <row r="66" spans="1:2" ht="15.75" x14ac:dyDescent="0.25">
      <c r="A66" s="22" t="s">
        <v>133</v>
      </c>
      <c r="B66" s="84">
        <v>3.0600306003059998E-3</v>
      </c>
    </row>
    <row r="67" spans="1:2" ht="15.75" x14ac:dyDescent="0.25">
      <c r="A67" s="22" t="s">
        <v>134</v>
      </c>
      <c r="B67" s="84">
        <v>1.7800178001780001E-3</v>
      </c>
    </row>
    <row r="68" spans="1:2" ht="15.75" x14ac:dyDescent="0.25">
      <c r="A68" s="22" t="s">
        <v>135</v>
      </c>
      <c r="B68" s="84">
        <v>7.2000720007200003E-4</v>
      </c>
    </row>
    <row r="69" spans="1:2" ht="15.75" x14ac:dyDescent="0.25">
      <c r="A69" s="22" t="s">
        <v>136</v>
      </c>
      <c r="B69" s="84">
        <v>1.350013500135E-3</v>
      </c>
    </row>
    <row r="70" spans="1:2" ht="15.75" x14ac:dyDescent="0.25">
      <c r="A70" s="22" t="s">
        <v>137</v>
      </c>
      <c r="B70" s="84">
        <v>5.5600556005560098E-3</v>
      </c>
    </row>
    <row r="71" spans="1:2" ht="15.75" x14ac:dyDescent="0.25">
      <c r="A71" s="22" t="s">
        <v>138</v>
      </c>
      <c r="B71" s="84">
        <v>9.3000930009300002E-4</v>
      </c>
    </row>
    <row r="72" spans="1:2" ht="15.75" x14ac:dyDescent="0.25">
      <c r="A72" s="22" t="s">
        <v>139</v>
      </c>
      <c r="B72" s="84">
        <v>2.5670256702567E-2</v>
      </c>
    </row>
    <row r="73" spans="1:2" ht="15.75" x14ac:dyDescent="0.25">
      <c r="A73" s="22" t="s">
        <v>140</v>
      </c>
      <c r="B73" s="84">
        <v>4.4900449004490004E-3</v>
      </c>
    </row>
    <row r="74" spans="1:2" ht="15.75" x14ac:dyDescent="0.25">
      <c r="A74" s="22" t="s">
        <v>141</v>
      </c>
      <c r="B74" s="84">
        <v>8.8000880008800002E-4</v>
      </c>
    </row>
    <row r="75" spans="1:2" ht="15.75" x14ac:dyDescent="0.25">
      <c r="A75" s="22" t="s">
        <v>142</v>
      </c>
      <c r="B75" s="84">
        <v>8.1600816008160094E-3</v>
      </c>
    </row>
    <row r="76" spans="1:2" ht="15.75" x14ac:dyDescent="0.25">
      <c r="A76" s="22" t="s">
        <v>143</v>
      </c>
      <c r="B76" s="84">
        <v>1.6300163001629999E-3</v>
      </c>
    </row>
    <row r="77" spans="1:2" ht="15.75" x14ac:dyDescent="0.25">
      <c r="A77" s="22" t="s">
        <v>144</v>
      </c>
      <c r="B77" s="84">
        <v>4.5200452004519999E-3</v>
      </c>
    </row>
    <row r="78" spans="1:2" ht="15.75" x14ac:dyDescent="0.25">
      <c r="A78" s="22" t="s">
        <v>145</v>
      </c>
      <c r="B78" s="84">
        <v>9.5000950009499995E-4</v>
      </c>
    </row>
    <row r="79" spans="1:2" ht="15.75" x14ac:dyDescent="0.25">
      <c r="A79" s="22" t="s">
        <v>146</v>
      </c>
      <c r="B79" s="84">
        <v>4.9400494004940001E-3</v>
      </c>
    </row>
    <row r="80" spans="1:2" ht="15.75" x14ac:dyDescent="0.25">
      <c r="A80" s="22" t="s">
        <v>147</v>
      </c>
      <c r="B80" s="84">
        <v>8.8000880008800002E-4</v>
      </c>
    </row>
    <row r="81" spans="1:2" ht="15.75" x14ac:dyDescent="0.25">
      <c r="A81" s="22" t="s">
        <v>148</v>
      </c>
      <c r="B81" s="84">
        <v>3.4400344003439999E-3</v>
      </c>
    </row>
    <row r="82" spans="1:2" ht="15.75" x14ac:dyDescent="0.25">
      <c r="A82" s="22" t="s">
        <v>149</v>
      </c>
      <c r="B82" s="84">
        <v>1.080010800108E-3</v>
      </c>
    </row>
    <row r="83" spans="1:2" ht="15.75" x14ac:dyDescent="0.25">
      <c r="A83" s="22" t="s">
        <v>150</v>
      </c>
      <c r="B83" s="84">
        <v>1.2050120501205E-2</v>
      </c>
    </row>
    <row r="84" spans="1:2" ht="15.75" x14ac:dyDescent="0.25">
      <c r="A84" s="22" t="s">
        <v>151</v>
      </c>
      <c r="B84" s="84">
        <v>1.470014700147E-3</v>
      </c>
    </row>
    <row r="85" spans="1:2" ht="15.75" x14ac:dyDescent="0.25">
      <c r="A85" s="22" t="s">
        <v>152</v>
      </c>
      <c r="B85" s="84">
        <v>1.5600156001560001E-3</v>
      </c>
    </row>
    <row r="86" spans="1:2" ht="15.75" x14ac:dyDescent="0.25">
      <c r="A86" s="22" t="s">
        <v>153</v>
      </c>
      <c r="B86" s="84">
        <v>2.0470204702046999E-2</v>
      </c>
    </row>
    <row r="87" spans="1:2" ht="15.75" x14ac:dyDescent="0.25">
      <c r="A87" s="22" t="s">
        <v>154</v>
      </c>
      <c r="B87" s="84">
        <v>3.3880338803387998E-2</v>
      </c>
    </row>
    <row r="88" spans="1:2" ht="15.75" x14ac:dyDescent="0.25">
      <c r="A88" s="22" t="s">
        <v>155</v>
      </c>
      <c r="B88" s="84">
        <v>1.2200122001220001E-3</v>
      </c>
    </row>
    <row r="89" spans="1:2" ht="15.75" x14ac:dyDescent="0.25">
      <c r="A89" s="22" t="s">
        <v>156</v>
      </c>
      <c r="B89" s="84">
        <v>1.2900129001290001E-3</v>
      </c>
    </row>
    <row r="90" spans="1:2" ht="15.75" x14ac:dyDescent="0.25">
      <c r="A90" s="22" t="s">
        <v>157</v>
      </c>
      <c r="B90" s="84">
        <v>1.10001100011E-3</v>
      </c>
    </row>
    <row r="91" spans="1:2" ht="15.75" x14ac:dyDescent="0.25">
      <c r="A91" s="22" t="s">
        <v>158</v>
      </c>
      <c r="B91" s="84">
        <v>1.3300133001329999E-3</v>
      </c>
    </row>
    <row r="92" spans="1:2" ht="15.75" x14ac:dyDescent="0.25">
      <c r="A92" s="22" t="s">
        <v>159</v>
      </c>
      <c r="B92" s="84">
        <v>6.3800638006380099E-3</v>
      </c>
    </row>
    <row r="93" spans="1:2" ht="15.75" x14ac:dyDescent="0.25">
      <c r="A93" s="22" t="s">
        <v>160</v>
      </c>
      <c r="B93" s="84">
        <v>4.1000410004099997E-3</v>
      </c>
    </row>
    <row r="94" spans="1:2" ht="15.75" x14ac:dyDescent="0.25">
      <c r="A94" s="22" t="s">
        <v>161</v>
      </c>
      <c r="B94" s="84">
        <v>3.2900329003290002E-3</v>
      </c>
    </row>
    <row r="95" spans="1:2" ht="15.75" x14ac:dyDescent="0.25">
      <c r="A95" s="22" t="s">
        <v>162</v>
      </c>
      <c r="B95" s="84">
        <v>3.9500395003950004E-3</v>
      </c>
    </row>
    <row r="96" spans="1:2" ht="15.75" x14ac:dyDescent="0.25">
      <c r="A96" s="22" t="s">
        <v>163</v>
      </c>
      <c r="B96" s="84">
        <v>7.5000750007500096E-3</v>
      </c>
    </row>
    <row r="97" spans="1:2" ht="15.75" x14ac:dyDescent="0.25">
      <c r="A97" s="22" t="s">
        <v>164</v>
      </c>
      <c r="B97" s="84">
        <v>1.860018600186E-3</v>
      </c>
    </row>
    <row r="98" spans="1:2" ht="15.75" x14ac:dyDescent="0.25">
      <c r="A98" s="22" t="s">
        <v>165</v>
      </c>
      <c r="B98" s="84">
        <v>1.9370193701936999E-2</v>
      </c>
    </row>
    <row r="99" spans="1:2" ht="15.75" x14ac:dyDescent="0.25">
      <c r="A99" s="22" t="s">
        <v>166</v>
      </c>
      <c r="B99" s="84">
        <v>2.6200262002619998E-3</v>
      </c>
    </row>
    <row r="100" spans="1:2" ht="15.75" x14ac:dyDescent="0.25">
      <c r="A100" s="22" t="s">
        <v>167</v>
      </c>
      <c r="B100" s="84">
        <v>1.9000190001899999E-3</v>
      </c>
    </row>
    <row r="101" spans="1:2" ht="15.75" x14ac:dyDescent="0.25">
      <c r="A101" s="22" t="s">
        <v>168</v>
      </c>
      <c r="B101" s="84">
        <v>3.510035100351E-3</v>
      </c>
    </row>
    <row r="102" spans="1:2" ht="15.75" x14ac:dyDescent="0.25">
      <c r="A102" s="22" t="s">
        <v>169</v>
      </c>
      <c r="B102" s="84">
        <v>3.5560355603555999E-2</v>
      </c>
    </row>
    <row r="103" spans="1:2" ht="15.75" x14ac:dyDescent="0.25">
      <c r="A103" s="22" t="s">
        <v>170</v>
      </c>
      <c r="B103" s="84">
        <v>1.0610106101060999E-2</v>
      </c>
    </row>
    <row r="104" spans="1:2" ht="15.75" x14ac:dyDescent="0.25">
      <c r="A104" s="22" t="s">
        <v>171</v>
      </c>
      <c r="B104" s="84">
        <v>2.4700247002470001E-3</v>
      </c>
    </row>
    <row r="105" spans="1:2" ht="15.75" x14ac:dyDescent="0.25">
      <c r="A105" s="22" t="s">
        <v>172</v>
      </c>
      <c r="B105" s="84">
        <v>9.1000910009099998E-4</v>
      </c>
    </row>
    <row r="106" spans="1:2" ht="15.75" x14ac:dyDescent="0.25">
      <c r="A106" s="22" t="s">
        <v>173</v>
      </c>
      <c r="B106" s="84">
        <v>8.4000840008400005E-4</v>
      </c>
    </row>
    <row r="107" spans="1:2" ht="15.75" x14ac:dyDescent="0.25">
      <c r="A107" s="22" t="s">
        <v>174</v>
      </c>
      <c r="B107" s="84">
        <v>4.2250422504224998E-2</v>
      </c>
    </row>
    <row r="108" spans="1:2" ht="15.75" x14ac:dyDescent="0.25">
      <c r="A108" s="22" t="s">
        <v>175</v>
      </c>
      <c r="B108" s="84">
        <v>1.4980149801498E-2</v>
      </c>
    </row>
    <row r="109" spans="1:2" ht="15.75" x14ac:dyDescent="0.25">
      <c r="A109" s="22" t="s">
        <v>176</v>
      </c>
      <c r="B109" s="84">
        <v>1.8590185901858999E-2</v>
      </c>
    </row>
    <row r="110" spans="1:2" ht="15.75" x14ac:dyDescent="0.25">
      <c r="A110" s="22" t="s">
        <v>177</v>
      </c>
      <c r="B110" s="84">
        <v>2.3500235002349998E-3</v>
      </c>
    </row>
    <row r="111" spans="1:2" ht="15.75" x14ac:dyDescent="0.25">
      <c r="A111" s="22" t="s">
        <v>178</v>
      </c>
      <c r="B111" s="84">
        <v>6.1400614006140103E-3</v>
      </c>
    </row>
    <row r="112" spans="1:2" ht="15.75" x14ac:dyDescent="0.25">
      <c r="A112" s="22" t="s">
        <v>179</v>
      </c>
      <c r="B112" s="84">
        <v>1.0640106401064E-2</v>
      </c>
    </row>
    <row r="113" spans="1:2" ht="15.75" x14ac:dyDescent="0.25">
      <c r="A113" s="22" t="s">
        <v>180</v>
      </c>
      <c r="B113" s="84">
        <v>7.8600786007860107E-3</v>
      </c>
    </row>
    <row r="114" spans="1:2" ht="15.75" x14ac:dyDescent="0.25">
      <c r="A114" s="22" t="s">
        <v>181</v>
      </c>
      <c r="B114" s="84">
        <v>4.2100421004210003E-3</v>
      </c>
    </row>
    <row r="115" spans="1:2" ht="15.75" x14ac:dyDescent="0.25">
      <c r="A115" s="22" t="s">
        <v>182</v>
      </c>
      <c r="B115" s="84">
        <v>6.6000660006600102E-3</v>
      </c>
    </row>
    <row r="116" spans="1:2" ht="15.75" x14ac:dyDescent="0.25">
      <c r="A116" s="22" t="s">
        <v>183</v>
      </c>
      <c r="B116" s="84">
        <v>5.9200592005920101E-3</v>
      </c>
    </row>
    <row r="117" spans="1:2" ht="15.75" x14ac:dyDescent="0.25">
      <c r="A117" s="22" t="s">
        <v>184</v>
      </c>
      <c r="B117" s="84">
        <v>1.370013700137E-3</v>
      </c>
    </row>
    <row r="118" spans="1:2" ht="15.75" x14ac:dyDescent="0.25">
      <c r="A118" s="22" t="s">
        <v>185</v>
      </c>
      <c r="B118" s="84">
        <v>1.4170141701417E-2</v>
      </c>
    </row>
    <row r="119" spans="1:2" ht="15.75" x14ac:dyDescent="0.25">
      <c r="A119" s="22" t="s">
        <v>186</v>
      </c>
      <c r="B119" s="84">
        <v>1.4430144301443E-2</v>
      </c>
    </row>
    <row r="120" spans="1:2" ht="15.75" x14ac:dyDescent="0.25">
      <c r="A120" s="22" t="s">
        <v>187</v>
      </c>
      <c r="B120" s="84">
        <v>4.4000440004400001E-3</v>
      </c>
    </row>
    <row r="121" spans="1:2" ht="15.75" x14ac:dyDescent="0.25">
      <c r="A121" s="22" t="s">
        <v>188</v>
      </c>
      <c r="B121" s="84">
        <v>7.1000710007100096E-3</v>
      </c>
    </row>
    <row r="122" spans="1:2" ht="15.75" x14ac:dyDescent="0.25">
      <c r="A122" s="22" t="s">
        <v>189</v>
      </c>
      <c r="B122" s="84">
        <v>5.8000580005799997E-4</v>
      </c>
    </row>
    <row r="123" spans="1:2" ht="15.75" x14ac:dyDescent="0.25">
      <c r="A123" s="22" t="s">
        <v>190</v>
      </c>
      <c r="B123" s="84">
        <v>8.1000810008099999E-4</v>
      </c>
    </row>
    <row r="124" spans="1:2" ht="15.75" x14ac:dyDescent="0.25">
      <c r="A124" s="22" t="s">
        <v>12</v>
      </c>
      <c r="B124" s="84">
        <v>1.6060160601606002E-2</v>
      </c>
    </row>
    <row r="125" spans="1:2" ht="15.75" x14ac:dyDescent="0.25">
      <c r="A125" s="22" t="s">
        <v>191</v>
      </c>
      <c r="B125" s="84">
        <v>4.8590485904859003E-2</v>
      </c>
    </row>
    <row r="126" spans="1:2" ht="15.75" x14ac:dyDescent="0.25">
      <c r="A126" s="22" t="s">
        <v>192</v>
      </c>
      <c r="B126" s="84">
        <v>7.6600766007660099E-3</v>
      </c>
    </row>
    <row r="127" spans="1:2" ht="15.75" x14ac:dyDescent="0.25">
      <c r="A127" s="22" t="s">
        <v>193</v>
      </c>
      <c r="B127" s="84">
        <v>9.9600996009960099E-3</v>
      </c>
    </row>
    <row r="128" spans="1:2" ht="15.75" x14ac:dyDescent="0.25">
      <c r="A128" s="22" t="s">
        <v>194</v>
      </c>
      <c r="B128" s="84">
        <v>3.6300363003630002E-3</v>
      </c>
    </row>
    <row r="129" spans="1:2" ht="15.75" x14ac:dyDescent="0.25">
      <c r="A129" s="22" t="s">
        <v>195</v>
      </c>
      <c r="B129" s="84">
        <v>2.230022300223E-3</v>
      </c>
    </row>
    <row r="130" spans="1:2" ht="15.75" x14ac:dyDescent="0.25">
      <c r="A130" s="22" t="s">
        <v>196</v>
      </c>
      <c r="B130" s="84">
        <v>8.6000860008599998E-4</v>
      </c>
    </row>
    <row r="131" spans="1:2" ht="15.75" x14ac:dyDescent="0.25">
      <c r="A131" s="22" t="s">
        <v>197</v>
      </c>
      <c r="B131" s="84">
        <v>6.4900649006490096E-3</v>
      </c>
    </row>
    <row r="132" spans="1:2" ht="15.75" x14ac:dyDescent="0.25">
      <c r="A132" s="22" t="s">
        <v>198</v>
      </c>
      <c r="B132" s="84">
        <v>1.7560175601756E-2</v>
      </c>
    </row>
    <row r="133" spans="1:2" ht="15.75" x14ac:dyDescent="0.25">
      <c r="A133" s="22" t="s">
        <v>199</v>
      </c>
      <c r="B133" s="84">
        <v>6.4200642006420096E-3</v>
      </c>
    </row>
    <row r="134" spans="1:2" ht="15.75" x14ac:dyDescent="0.25">
      <c r="A134" s="22" t="s">
        <v>200</v>
      </c>
      <c r="B134" s="84">
        <v>5.6100561005610096E-3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308F-251A-45B1-B655-827399041F44}">
  <dimension ref="A1:B134"/>
  <sheetViews>
    <sheetView workbookViewId="0">
      <selection activeCell="E31" sqref="E31"/>
    </sheetView>
  </sheetViews>
  <sheetFormatPr defaultRowHeight="15" x14ac:dyDescent="0.25"/>
  <cols>
    <col min="1" max="1" width="20.85546875" style="6" bestFit="1" customWidth="1"/>
    <col min="2" max="2" width="16.42578125" customWidth="1"/>
  </cols>
  <sheetData>
    <row r="1" spans="1:2" x14ac:dyDescent="0.25">
      <c r="A1" s="5" t="s">
        <v>201</v>
      </c>
      <c r="B1" s="1" t="s">
        <v>202</v>
      </c>
    </row>
    <row r="2" spans="1:2" x14ac:dyDescent="0.25">
      <c r="A2" s="6" t="s">
        <v>53</v>
      </c>
      <c r="B2">
        <v>5</v>
      </c>
    </row>
    <row r="3" spans="1:2" x14ac:dyDescent="0.25">
      <c r="A3" s="6" t="s">
        <v>54</v>
      </c>
      <c r="B3">
        <v>1</v>
      </c>
    </row>
    <row r="4" spans="1:2" x14ac:dyDescent="0.25">
      <c r="A4" s="6" t="s">
        <v>56</v>
      </c>
      <c r="B4">
        <v>2</v>
      </c>
    </row>
    <row r="5" spans="1:2" x14ac:dyDescent="0.25">
      <c r="A5" s="6" t="s">
        <v>58</v>
      </c>
      <c r="B5">
        <v>1</v>
      </c>
    </row>
    <row r="6" spans="1:2" x14ac:dyDescent="0.25">
      <c r="A6" s="6" t="s">
        <v>60</v>
      </c>
      <c r="B6">
        <v>4</v>
      </c>
    </row>
    <row r="7" spans="1:2" x14ac:dyDescent="0.25">
      <c r="A7" s="6" t="s">
        <v>62</v>
      </c>
      <c r="B7">
        <v>1</v>
      </c>
    </row>
    <row r="8" spans="1:2" x14ac:dyDescent="0.25">
      <c r="A8" s="6" t="s">
        <v>64</v>
      </c>
      <c r="B8">
        <v>1</v>
      </c>
    </row>
    <row r="9" spans="1:2" x14ac:dyDescent="0.25">
      <c r="A9" s="6" t="s">
        <v>11</v>
      </c>
      <c r="B9">
        <v>2</v>
      </c>
    </row>
    <row r="10" spans="1:2" x14ac:dyDescent="0.25">
      <c r="A10" s="6" t="s">
        <v>67</v>
      </c>
      <c r="B10">
        <v>1</v>
      </c>
    </row>
    <row r="11" spans="1:2" x14ac:dyDescent="0.25">
      <c r="A11" s="6" t="s">
        <v>69</v>
      </c>
      <c r="B11">
        <v>1</v>
      </c>
    </row>
    <row r="12" spans="1:2" x14ac:dyDescent="0.25">
      <c r="A12" s="6" t="s">
        <v>71</v>
      </c>
      <c r="B12">
        <v>1</v>
      </c>
    </row>
    <row r="13" spans="1:2" x14ac:dyDescent="0.25">
      <c r="A13" s="6" t="s">
        <v>73</v>
      </c>
      <c r="B13">
        <v>3</v>
      </c>
    </row>
    <row r="14" spans="1:2" x14ac:dyDescent="0.25">
      <c r="A14" s="6" t="s">
        <v>75</v>
      </c>
      <c r="B14">
        <v>3</v>
      </c>
    </row>
    <row r="15" spans="1:2" x14ac:dyDescent="0.25">
      <c r="A15" s="6" t="s">
        <v>77</v>
      </c>
      <c r="B15">
        <v>3</v>
      </c>
    </row>
    <row r="16" spans="1:2" x14ac:dyDescent="0.25">
      <c r="A16" s="6" t="s">
        <v>79</v>
      </c>
      <c r="B16">
        <v>3</v>
      </c>
    </row>
    <row r="17" spans="1:2" x14ac:dyDescent="0.25">
      <c r="A17" s="6" t="s">
        <v>81</v>
      </c>
      <c r="B17">
        <v>3</v>
      </c>
    </row>
    <row r="18" spans="1:2" x14ac:dyDescent="0.25">
      <c r="A18" s="6" t="s">
        <v>83</v>
      </c>
      <c r="B18">
        <v>4</v>
      </c>
    </row>
    <row r="19" spans="1:2" x14ac:dyDescent="0.25">
      <c r="A19" s="6" t="s">
        <v>85</v>
      </c>
      <c r="B19">
        <v>1</v>
      </c>
    </row>
    <row r="20" spans="1:2" x14ac:dyDescent="0.25">
      <c r="A20" s="6" t="s">
        <v>87</v>
      </c>
      <c r="B20">
        <v>1</v>
      </c>
    </row>
    <row r="21" spans="1:2" x14ac:dyDescent="0.25">
      <c r="A21" s="6" t="s">
        <v>89</v>
      </c>
      <c r="B21">
        <v>1</v>
      </c>
    </row>
    <row r="22" spans="1:2" x14ac:dyDescent="0.25">
      <c r="A22" s="6" t="s">
        <v>90</v>
      </c>
      <c r="B22">
        <v>3</v>
      </c>
    </row>
    <row r="23" spans="1:2" x14ac:dyDescent="0.25">
      <c r="A23" s="6" t="s">
        <v>91</v>
      </c>
      <c r="B23">
        <v>4</v>
      </c>
    </row>
    <row r="24" spans="1:2" x14ac:dyDescent="0.25">
      <c r="A24" s="6" t="s">
        <v>92</v>
      </c>
      <c r="B24">
        <v>4</v>
      </c>
    </row>
    <row r="25" spans="1:2" x14ac:dyDescent="0.25">
      <c r="A25" s="6" t="s">
        <v>93</v>
      </c>
      <c r="B25">
        <v>1</v>
      </c>
    </row>
    <row r="26" spans="1:2" x14ac:dyDescent="0.25">
      <c r="A26" s="6" t="s">
        <v>94</v>
      </c>
      <c r="B26">
        <v>5</v>
      </c>
    </row>
    <row r="27" spans="1:2" x14ac:dyDescent="0.25">
      <c r="A27" s="6" t="s">
        <v>95</v>
      </c>
      <c r="B27">
        <v>4</v>
      </c>
    </row>
    <row r="28" spans="1:2" x14ac:dyDescent="0.25">
      <c r="A28" s="6" t="s">
        <v>96</v>
      </c>
      <c r="B28">
        <v>1</v>
      </c>
    </row>
    <row r="29" spans="1:2" x14ac:dyDescent="0.25">
      <c r="A29" s="6" t="s">
        <v>97</v>
      </c>
      <c r="B29">
        <v>4</v>
      </c>
    </row>
    <row r="30" spans="1:2" x14ac:dyDescent="0.25">
      <c r="A30" s="6" t="s">
        <v>98</v>
      </c>
      <c r="B30">
        <v>1</v>
      </c>
    </row>
    <row r="31" spans="1:2" x14ac:dyDescent="0.25">
      <c r="A31" s="6" t="s">
        <v>99</v>
      </c>
      <c r="B31">
        <v>3</v>
      </c>
    </row>
    <row r="32" spans="1:2" x14ac:dyDescent="0.25">
      <c r="A32" s="6" t="s">
        <v>100</v>
      </c>
      <c r="B32">
        <v>1</v>
      </c>
    </row>
    <row r="33" spans="1:2" x14ac:dyDescent="0.25">
      <c r="A33" s="6" t="s">
        <v>101</v>
      </c>
      <c r="B33">
        <v>4</v>
      </c>
    </row>
    <row r="34" spans="1:2" x14ac:dyDescent="0.25">
      <c r="A34" s="6" t="s">
        <v>102</v>
      </c>
      <c r="B34">
        <v>3</v>
      </c>
    </row>
    <row r="35" spans="1:2" x14ac:dyDescent="0.25">
      <c r="A35" s="6" t="s">
        <v>103</v>
      </c>
      <c r="B35">
        <v>3</v>
      </c>
    </row>
    <row r="36" spans="1:2" x14ac:dyDescent="0.25">
      <c r="A36" s="6" t="s">
        <v>104</v>
      </c>
      <c r="B36">
        <v>4</v>
      </c>
    </row>
    <row r="37" spans="1:2" x14ac:dyDescent="0.25">
      <c r="A37" s="6" t="s">
        <v>105</v>
      </c>
      <c r="B37">
        <v>4</v>
      </c>
    </row>
    <row r="38" spans="1:2" x14ac:dyDescent="0.25">
      <c r="A38" s="6" t="s">
        <v>106</v>
      </c>
      <c r="B38">
        <v>5</v>
      </c>
    </row>
    <row r="39" spans="1:2" x14ac:dyDescent="0.25">
      <c r="A39" s="6" t="s">
        <v>107</v>
      </c>
      <c r="B39">
        <v>2</v>
      </c>
    </row>
    <row r="40" spans="1:2" x14ac:dyDescent="0.25">
      <c r="A40" s="6" t="s">
        <v>36</v>
      </c>
      <c r="B40">
        <v>2</v>
      </c>
    </row>
    <row r="41" spans="1:2" x14ac:dyDescent="0.25">
      <c r="A41" s="6" t="s">
        <v>108</v>
      </c>
      <c r="B41">
        <v>2</v>
      </c>
    </row>
    <row r="42" spans="1:2" x14ac:dyDescent="0.25">
      <c r="A42" s="6" t="s">
        <v>109</v>
      </c>
      <c r="B42">
        <v>1</v>
      </c>
    </row>
    <row r="43" spans="1:2" x14ac:dyDescent="0.25">
      <c r="A43" s="6" t="s">
        <v>110</v>
      </c>
      <c r="B43">
        <v>3</v>
      </c>
    </row>
    <row r="44" spans="1:2" x14ac:dyDescent="0.25">
      <c r="A44" s="6" t="s">
        <v>111</v>
      </c>
      <c r="B44">
        <v>1</v>
      </c>
    </row>
    <row r="45" spans="1:2" x14ac:dyDescent="0.25">
      <c r="A45" s="6" t="s">
        <v>112</v>
      </c>
      <c r="B45">
        <v>5</v>
      </c>
    </row>
    <row r="46" spans="1:2" x14ac:dyDescent="0.25">
      <c r="A46" s="6" t="s">
        <v>113</v>
      </c>
      <c r="B46">
        <v>3</v>
      </c>
    </row>
    <row r="47" spans="1:2" x14ac:dyDescent="0.25">
      <c r="A47" s="6" t="s">
        <v>114</v>
      </c>
      <c r="B47">
        <v>1</v>
      </c>
    </row>
    <row r="48" spans="1:2" x14ac:dyDescent="0.25">
      <c r="A48" s="6" t="s">
        <v>115</v>
      </c>
      <c r="B48">
        <v>1</v>
      </c>
    </row>
    <row r="49" spans="1:2" x14ac:dyDescent="0.25">
      <c r="A49" s="6" t="s">
        <v>116</v>
      </c>
      <c r="B49">
        <v>3</v>
      </c>
    </row>
    <row r="50" spans="1:2" x14ac:dyDescent="0.25">
      <c r="A50" s="6" t="s">
        <v>117</v>
      </c>
      <c r="B50">
        <v>3</v>
      </c>
    </row>
    <row r="51" spans="1:2" x14ac:dyDescent="0.25">
      <c r="A51" s="6" t="s">
        <v>118</v>
      </c>
      <c r="B51">
        <v>5</v>
      </c>
    </row>
    <row r="52" spans="1:2" x14ac:dyDescent="0.25">
      <c r="A52" s="6" t="s">
        <v>119</v>
      </c>
      <c r="B52">
        <v>4</v>
      </c>
    </row>
    <row r="53" spans="1:2" x14ac:dyDescent="0.25">
      <c r="A53" s="6" t="s">
        <v>120</v>
      </c>
      <c r="B53">
        <v>3</v>
      </c>
    </row>
    <row r="54" spans="1:2" x14ac:dyDescent="0.25">
      <c r="A54" s="6" t="s">
        <v>121</v>
      </c>
      <c r="B54">
        <v>1</v>
      </c>
    </row>
    <row r="55" spans="1:2" x14ac:dyDescent="0.25">
      <c r="A55" s="6" t="s">
        <v>122</v>
      </c>
      <c r="B55">
        <v>4</v>
      </c>
    </row>
    <row r="56" spans="1:2" x14ac:dyDescent="0.25">
      <c r="A56" s="6" t="s">
        <v>123</v>
      </c>
      <c r="B56">
        <v>3</v>
      </c>
    </row>
    <row r="57" spans="1:2" x14ac:dyDescent="0.25">
      <c r="A57" s="6" t="s">
        <v>124</v>
      </c>
      <c r="B57">
        <v>5</v>
      </c>
    </row>
    <row r="58" spans="1:2" x14ac:dyDescent="0.25">
      <c r="A58" s="6" t="s">
        <v>125</v>
      </c>
      <c r="B58">
        <v>4</v>
      </c>
    </row>
    <row r="59" spans="1:2" x14ac:dyDescent="0.25">
      <c r="A59" s="6" t="s">
        <v>126</v>
      </c>
      <c r="B59">
        <v>1</v>
      </c>
    </row>
    <row r="60" spans="1:2" x14ac:dyDescent="0.25">
      <c r="A60" s="6" t="s">
        <v>127</v>
      </c>
      <c r="B60">
        <v>4</v>
      </c>
    </row>
    <row r="61" spans="1:2" x14ac:dyDescent="0.25">
      <c r="A61" s="6" t="s">
        <v>128</v>
      </c>
      <c r="B61">
        <v>3</v>
      </c>
    </row>
    <row r="62" spans="1:2" x14ac:dyDescent="0.25">
      <c r="A62" s="6" t="s">
        <v>129</v>
      </c>
      <c r="B62">
        <v>1</v>
      </c>
    </row>
    <row r="63" spans="1:2" x14ac:dyDescent="0.25">
      <c r="A63" s="6" t="s">
        <v>130</v>
      </c>
      <c r="B63">
        <v>4</v>
      </c>
    </row>
    <row r="64" spans="1:2" x14ac:dyDescent="0.25">
      <c r="A64" s="6" t="s">
        <v>131</v>
      </c>
      <c r="B64">
        <v>5</v>
      </c>
    </row>
    <row r="65" spans="1:2" x14ac:dyDescent="0.25">
      <c r="A65" s="6" t="s">
        <v>132</v>
      </c>
      <c r="B65">
        <v>5</v>
      </c>
    </row>
    <row r="66" spans="1:2" x14ac:dyDescent="0.25">
      <c r="A66" s="6" t="s">
        <v>133</v>
      </c>
      <c r="B66">
        <v>5</v>
      </c>
    </row>
    <row r="67" spans="1:2" x14ac:dyDescent="0.25">
      <c r="A67" s="6" t="s">
        <v>134</v>
      </c>
      <c r="B67">
        <v>1</v>
      </c>
    </row>
    <row r="68" spans="1:2" x14ac:dyDescent="0.25">
      <c r="A68" s="6" t="s">
        <v>135</v>
      </c>
      <c r="B68">
        <v>5</v>
      </c>
    </row>
    <row r="69" spans="1:2" x14ac:dyDescent="0.25">
      <c r="A69" s="6" t="s">
        <v>136</v>
      </c>
      <c r="B69">
        <v>5</v>
      </c>
    </row>
    <row r="70" spans="1:2" x14ac:dyDescent="0.25">
      <c r="A70" s="6" t="s">
        <v>137</v>
      </c>
      <c r="B70">
        <v>3</v>
      </c>
    </row>
    <row r="71" spans="1:2" x14ac:dyDescent="0.25">
      <c r="A71" s="6" t="s">
        <v>138</v>
      </c>
      <c r="B71">
        <v>1</v>
      </c>
    </row>
    <row r="72" spans="1:2" x14ac:dyDescent="0.25">
      <c r="A72" s="6" t="s">
        <v>139</v>
      </c>
      <c r="B72">
        <v>2</v>
      </c>
    </row>
    <row r="73" spans="1:2" x14ac:dyDescent="0.25">
      <c r="A73" s="6" t="s">
        <v>140</v>
      </c>
      <c r="B73">
        <v>1</v>
      </c>
    </row>
    <row r="74" spans="1:2" x14ac:dyDescent="0.25">
      <c r="A74" s="6" t="s">
        <v>141</v>
      </c>
      <c r="B74">
        <v>4</v>
      </c>
    </row>
    <row r="75" spans="1:2" x14ac:dyDescent="0.25">
      <c r="A75" s="6" t="s">
        <v>142</v>
      </c>
      <c r="B75">
        <v>1</v>
      </c>
    </row>
    <row r="76" spans="1:2" x14ac:dyDescent="0.25">
      <c r="A76" s="6" t="s">
        <v>143</v>
      </c>
      <c r="B76">
        <v>1</v>
      </c>
    </row>
    <row r="77" spans="1:2" x14ac:dyDescent="0.25">
      <c r="A77" s="6" t="s">
        <v>144</v>
      </c>
      <c r="B77">
        <v>2</v>
      </c>
    </row>
    <row r="78" spans="1:2" x14ac:dyDescent="0.25">
      <c r="A78" s="6" t="s">
        <v>145</v>
      </c>
      <c r="B78">
        <v>2</v>
      </c>
    </row>
    <row r="79" spans="1:2" x14ac:dyDescent="0.25">
      <c r="A79" s="6" t="s">
        <v>146</v>
      </c>
      <c r="B79">
        <v>3</v>
      </c>
    </row>
    <row r="80" spans="1:2" x14ac:dyDescent="0.25">
      <c r="A80" s="6" t="s">
        <v>147</v>
      </c>
      <c r="B80">
        <v>5</v>
      </c>
    </row>
    <row r="81" spans="1:2" x14ac:dyDescent="0.25">
      <c r="A81" s="6" t="s">
        <v>148</v>
      </c>
      <c r="B81">
        <v>3</v>
      </c>
    </row>
    <row r="82" spans="1:2" x14ac:dyDescent="0.25">
      <c r="A82" s="6" t="s">
        <v>149</v>
      </c>
      <c r="B82">
        <v>5</v>
      </c>
    </row>
    <row r="83" spans="1:2" x14ac:dyDescent="0.25">
      <c r="A83" s="6" t="s">
        <v>150</v>
      </c>
      <c r="B83">
        <v>3</v>
      </c>
    </row>
    <row r="84" spans="1:2" x14ac:dyDescent="0.25">
      <c r="A84" s="6" t="s">
        <v>151</v>
      </c>
      <c r="B84">
        <v>1</v>
      </c>
    </row>
    <row r="85" spans="1:2" x14ac:dyDescent="0.25">
      <c r="A85" s="6" t="s">
        <v>152</v>
      </c>
      <c r="B85">
        <v>4</v>
      </c>
    </row>
    <row r="86" spans="1:2" x14ac:dyDescent="0.25">
      <c r="A86" s="6" t="s">
        <v>153</v>
      </c>
      <c r="B86">
        <v>5</v>
      </c>
    </row>
    <row r="87" spans="1:2" x14ac:dyDescent="0.25">
      <c r="A87" s="6" t="s">
        <v>154</v>
      </c>
      <c r="B87">
        <v>5</v>
      </c>
    </row>
    <row r="88" spans="1:2" x14ac:dyDescent="0.25">
      <c r="A88" s="6" t="s">
        <v>155</v>
      </c>
      <c r="B88">
        <v>5</v>
      </c>
    </row>
    <row r="89" spans="1:2" x14ac:dyDescent="0.25">
      <c r="A89" s="6" t="s">
        <v>156</v>
      </c>
      <c r="B89">
        <v>5</v>
      </c>
    </row>
    <row r="90" spans="1:2" x14ac:dyDescent="0.25">
      <c r="A90" s="6" t="s">
        <v>157</v>
      </c>
      <c r="B90">
        <v>3</v>
      </c>
    </row>
    <row r="91" spans="1:2" x14ac:dyDescent="0.25">
      <c r="A91" s="6" t="s">
        <v>158</v>
      </c>
      <c r="B91">
        <v>4</v>
      </c>
    </row>
    <row r="92" spans="1:2" x14ac:dyDescent="0.25">
      <c r="A92" s="6" t="s">
        <v>159</v>
      </c>
      <c r="B92">
        <v>1</v>
      </c>
    </row>
    <row r="93" spans="1:2" x14ac:dyDescent="0.25">
      <c r="A93" s="6" t="s">
        <v>160</v>
      </c>
      <c r="B93">
        <v>1</v>
      </c>
    </row>
    <row r="94" spans="1:2" x14ac:dyDescent="0.25">
      <c r="A94" s="6" t="s">
        <v>161</v>
      </c>
      <c r="B94">
        <v>3</v>
      </c>
    </row>
    <row r="95" spans="1:2" x14ac:dyDescent="0.25">
      <c r="A95" s="6" t="s">
        <v>162</v>
      </c>
      <c r="B95">
        <v>4</v>
      </c>
    </row>
    <row r="96" spans="1:2" x14ac:dyDescent="0.25">
      <c r="A96" s="6" t="s">
        <v>163</v>
      </c>
      <c r="B96">
        <v>3</v>
      </c>
    </row>
    <row r="97" spans="1:2" x14ac:dyDescent="0.25">
      <c r="A97" s="6" t="s">
        <v>164</v>
      </c>
      <c r="B97">
        <v>5</v>
      </c>
    </row>
    <row r="98" spans="1:2" x14ac:dyDescent="0.25">
      <c r="A98" s="6" t="s">
        <v>165</v>
      </c>
      <c r="B98">
        <v>5</v>
      </c>
    </row>
    <row r="99" spans="1:2" x14ac:dyDescent="0.25">
      <c r="A99" s="6" t="s">
        <v>166</v>
      </c>
      <c r="B99">
        <v>4</v>
      </c>
    </row>
    <row r="100" spans="1:2" x14ac:dyDescent="0.25">
      <c r="A100" s="6" t="s">
        <v>167</v>
      </c>
      <c r="B100">
        <v>4</v>
      </c>
    </row>
    <row r="101" spans="1:2" x14ac:dyDescent="0.25">
      <c r="A101" s="6" t="s">
        <v>168</v>
      </c>
      <c r="B101">
        <v>4</v>
      </c>
    </row>
    <row r="102" spans="1:2" x14ac:dyDescent="0.25">
      <c r="A102" s="6" t="s">
        <v>169</v>
      </c>
      <c r="B102">
        <v>2</v>
      </c>
    </row>
    <row r="103" spans="1:2" x14ac:dyDescent="0.25">
      <c r="A103" s="6" t="s">
        <v>170</v>
      </c>
      <c r="B103">
        <v>3</v>
      </c>
    </row>
    <row r="104" spans="1:2" x14ac:dyDescent="0.25">
      <c r="A104" s="6" t="s">
        <v>171</v>
      </c>
      <c r="B104">
        <v>3</v>
      </c>
    </row>
    <row r="105" spans="1:2" x14ac:dyDescent="0.25">
      <c r="A105" s="6" t="s">
        <v>172</v>
      </c>
      <c r="B105">
        <v>1</v>
      </c>
    </row>
    <row r="106" spans="1:2" x14ac:dyDescent="0.25">
      <c r="A106" s="6" t="s">
        <v>174</v>
      </c>
      <c r="B106">
        <v>4</v>
      </c>
    </row>
    <row r="107" spans="1:2" x14ac:dyDescent="0.25">
      <c r="A107" s="6" t="s">
        <v>173</v>
      </c>
      <c r="B107">
        <v>5</v>
      </c>
    </row>
    <row r="108" spans="1:2" x14ac:dyDescent="0.25">
      <c r="A108" s="6" t="s">
        <v>175</v>
      </c>
      <c r="B108">
        <v>3</v>
      </c>
    </row>
    <row r="109" spans="1:2" x14ac:dyDescent="0.25">
      <c r="A109" s="6" t="s">
        <v>176</v>
      </c>
      <c r="B109">
        <v>3</v>
      </c>
    </row>
    <row r="110" spans="1:2" x14ac:dyDescent="0.25">
      <c r="A110" s="6" t="s">
        <v>177</v>
      </c>
      <c r="B110">
        <v>1</v>
      </c>
    </row>
    <row r="111" spans="1:2" x14ac:dyDescent="0.25">
      <c r="A111" s="6" t="s">
        <v>178</v>
      </c>
      <c r="B111">
        <v>1</v>
      </c>
    </row>
    <row r="112" spans="1:2" x14ac:dyDescent="0.25">
      <c r="A112" s="6" t="s">
        <v>179</v>
      </c>
      <c r="B112">
        <v>3</v>
      </c>
    </row>
    <row r="113" spans="1:2" x14ac:dyDescent="0.25">
      <c r="A113" s="6" t="s">
        <v>180</v>
      </c>
      <c r="B113">
        <v>3</v>
      </c>
    </row>
    <row r="114" spans="1:2" x14ac:dyDescent="0.25">
      <c r="A114" s="6" t="s">
        <v>181</v>
      </c>
      <c r="B114">
        <v>3</v>
      </c>
    </row>
    <row r="115" spans="1:2" x14ac:dyDescent="0.25">
      <c r="A115" s="6" t="s">
        <v>182</v>
      </c>
      <c r="B115">
        <v>1</v>
      </c>
    </row>
    <row r="116" spans="1:2" x14ac:dyDescent="0.25">
      <c r="A116" s="6" t="s">
        <v>183</v>
      </c>
      <c r="B116">
        <v>3</v>
      </c>
    </row>
    <row r="117" spans="1:2" x14ac:dyDescent="0.25">
      <c r="A117" s="6" t="s">
        <v>184</v>
      </c>
      <c r="B117">
        <v>5</v>
      </c>
    </row>
    <row r="118" spans="1:2" x14ac:dyDescent="0.25">
      <c r="A118" s="6" t="s">
        <v>185</v>
      </c>
      <c r="B118">
        <v>1</v>
      </c>
    </row>
    <row r="119" spans="1:2" x14ac:dyDescent="0.25">
      <c r="A119" s="6" t="s">
        <v>186</v>
      </c>
      <c r="B119">
        <v>1</v>
      </c>
    </row>
    <row r="120" spans="1:2" x14ac:dyDescent="0.25">
      <c r="A120" s="6" t="s">
        <v>187</v>
      </c>
      <c r="B120">
        <v>1</v>
      </c>
    </row>
    <row r="121" spans="1:2" x14ac:dyDescent="0.25">
      <c r="A121" s="6" t="s">
        <v>188</v>
      </c>
      <c r="B121">
        <v>5</v>
      </c>
    </row>
    <row r="122" spans="1:2" x14ac:dyDescent="0.25">
      <c r="A122" s="6" t="s">
        <v>189</v>
      </c>
      <c r="B122">
        <v>4</v>
      </c>
    </row>
    <row r="123" spans="1:2" x14ac:dyDescent="0.25">
      <c r="A123" s="6" t="s">
        <v>190</v>
      </c>
      <c r="B123">
        <v>4</v>
      </c>
    </row>
    <row r="124" spans="1:2" x14ac:dyDescent="0.25">
      <c r="A124" s="6" t="s">
        <v>12</v>
      </c>
      <c r="B124">
        <v>3</v>
      </c>
    </row>
    <row r="125" spans="1:2" x14ac:dyDescent="0.25">
      <c r="A125" s="6" t="s">
        <v>191</v>
      </c>
      <c r="B125">
        <v>5</v>
      </c>
    </row>
    <row r="126" spans="1:2" x14ac:dyDescent="0.25">
      <c r="A126" s="6" t="s">
        <v>192</v>
      </c>
      <c r="B126">
        <v>1</v>
      </c>
    </row>
    <row r="127" spans="1:2" x14ac:dyDescent="0.25">
      <c r="A127" s="6" t="s">
        <v>193</v>
      </c>
      <c r="B127">
        <v>3</v>
      </c>
    </row>
    <row r="128" spans="1:2" x14ac:dyDescent="0.25">
      <c r="A128" s="6" t="s">
        <v>194</v>
      </c>
      <c r="B128">
        <v>1</v>
      </c>
    </row>
    <row r="129" spans="1:2" x14ac:dyDescent="0.25">
      <c r="A129" s="6" t="s">
        <v>195</v>
      </c>
      <c r="B129">
        <v>5</v>
      </c>
    </row>
    <row r="130" spans="1:2" x14ac:dyDescent="0.25">
      <c r="A130" s="6" t="s">
        <v>196</v>
      </c>
      <c r="B130">
        <v>5</v>
      </c>
    </row>
    <row r="131" spans="1:2" x14ac:dyDescent="0.25">
      <c r="A131" s="6" t="s">
        <v>197</v>
      </c>
      <c r="B131">
        <v>1</v>
      </c>
    </row>
    <row r="132" spans="1:2" x14ac:dyDescent="0.25">
      <c r="A132" s="6" t="s">
        <v>198</v>
      </c>
      <c r="B132">
        <v>3</v>
      </c>
    </row>
    <row r="133" spans="1:2" x14ac:dyDescent="0.25">
      <c r="A133" s="6" t="s">
        <v>199</v>
      </c>
      <c r="B133">
        <v>3</v>
      </c>
    </row>
    <row r="134" spans="1:2" x14ac:dyDescent="0.25">
      <c r="A134" s="6" t="s">
        <v>200</v>
      </c>
      <c r="B134">
        <v>5</v>
      </c>
    </row>
  </sheetData>
  <sortState xmlns:xlrd2="http://schemas.microsoft.com/office/spreadsheetml/2017/richdata2" ref="A2:B134">
    <sortCondition ref="A2:A13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82C5-78EF-4381-8AB5-1B7B42A33140}">
  <dimension ref="A1:B134"/>
  <sheetViews>
    <sheetView workbookViewId="0">
      <selection activeCell="A5" sqref="A5"/>
    </sheetView>
  </sheetViews>
  <sheetFormatPr defaultRowHeight="15" x14ac:dyDescent="0.25"/>
  <cols>
    <col min="1" max="1" width="20.85546875" style="6" bestFit="1" customWidth="1"/>
    <col min="2" max="2" width="16.42578125" customWidth="1"/>
  </cols>
  <sheetData>
    <row r="1" spans="1:2" x14ac:dyDescent="0.25">
      <c r="A1" s="5" t="s">
        <v>201</v>
      </c>
      <c r="B1" s="1" t="s">
        <v>202</v>
      </c>
    </row>
    <row r="2" spans="1:2" x14ac:dyDescent="0.25">
      <c r="A2" s="6" t="s">
        <v>58</v>
      </c>
      <c r="B2">
        <v>1</v>
      </c>
    </row>
    <row r="3" spans="1:2" x14ac:dyDescent="0.25">
      <c r="A3" s="6" t="s">
        <v>98</v>
      </c>
      <c r="B3">
        <v>1</v>
      </c>
    </row>
    <row r="4" spans="1:2" x14ac:dyDescent="0.25">
      <c r="A4" s="6" t="s">
        <v>126</v>
      </c>
      <c r="B4">
        <v>1</v>
      </c>
    </row>
    <row r="5" spans="1:2" x14ac:dyDescent="0.25">
      <c r="A5" s="6" t="s">
        <v>178</v>
      </c>
      <c r="B5">
        <v>1</v>
      </c>
    </row>
    <row r="6" spans="1:2" x14ac:dyDescent="0.25">
      <c r="A6" s="6" t="s">
        <v>62</v>
      </c>
      <c r="B6">
        <v>1</v>
      </c>
    </row>
    <row r="7" spans="1:2" x14ac:dyDescent="0.25">
      <c r="A7" s="6" t="s">
        <v>64</v>
      </c>
      <c r="B7">
        <v>1</v>
      </c>
    </row>
    <row r="8" spans="1:2" x14ac:dyDescent="0.25">
      <c r="A8" s="6" t="s">
        <v>71</v>
      </c>
      <c r="B8">
        <v>1</v>
      </c>
    </row>
    <row r="9" spans="1:2" x14ac:dyDescent="0.25">
      <c r="A9" s="6" t="s">
        <v>87</v>
      </c>
      <c r="B9">
        <v>1</v>
      </c>
    </row>
    <row r="10" spans="1:2" x14ac:dyDescent="0.25">
      <c r="A10" s="6" t="s">
        <v>142</v>
      </c>
      <c r="B10">
        <v>1</v>
      </c>
    </row>
    <row r="11" spans="1:2" x14ac:dyDescent="0.25">
      <c r="A11" s="6" t="s">
        <v>96</v>
      </c>
      <c r="B11">
        <v>1</v>
      </c>
    </row>
    <row r="12" spans="1:2" x14ac:dyDescent="0.25">
      <c r="A12" s="6" t="s">
        <v>114</v>
      </c>
      <c r="B12">
        <v>1</v>
      </c>
    </row>
    <row r="13" spans="1:2" x14ac:dyDescent="0.25">
      <c r="A13" s="6" t="s">
        <v>160</v>
      </c>
      <c r="B13">
        <v>1</v>
      </c>
    </row>
    <row r="14" spans="1:2" x14ac:dyDescent="0.25">
      <c r="A14" s="6" t="s">
        <v>182</v>
      </c>
      <c r="B14">
        <v>1</v>
      </c>
    </row>
    <row r="15" spans="1:2" x14ac:dyDescent="0.25">
      <c r="A15" s="6" t="s">
        <v>192</v>
      </c>
      <c r="B15">
        <v>1</v>
      </c>
    </row>
    <row r="16" spans="1:2" x14ac:dyDescent="0.25">
      <c r="A16" s="6" t="s">
        <v>197</v>
      </c>
      <c r="B16">
        <v>1</v>
      </c>
    </row>
    <row r="17" spans="1:2" x14ac:dyDescent="0.25">
      <c r="A17" s="6" t="s">
        <v>89</v>
      </c>
      <c r="B17">
        <v>1</v>
      </c>
    </row>
    <row r="18" spans="1:2" x14ac:dyDescent="0.25">
      <c r="A18" s="6" t="s">
        <v>115</v>
      </c>
      <c r="B18">
        <v>1</v>
      </c>
    </row>
    <row r="19" spans="1:2" x14ac:dyDescent="0.25">
      <c r="A19" s="6" t="s">
        <v>134</v>
      </c>
      <c r="B19">
        <v>1</v>
      </c>
    </row>
    <row r="20" spans="1:2" x14ac:dyDescent="0.25">
      <c r="A20" s="6" t="s">
        <v>185</v>
      </c>
      <c r="B20">
        <v>1</v>
      </c>
    </row>
    <row r="21" spans="1:2" x14ac:dyDescent="0.25">
      <c r="A21" s="6" t="s">
        <v>186</v>
      </c>
      <c r="B21">
        <v>1</v>
      </c>
    </row>
    <row r="22" spans="1:2" x14ac:dyDescent="0.25">
      <c r="A22" s="6" t="s">
        <v>100</v>
      </c>
      <c r="B22">
        <v>1</v>
      </c>
    </row>
    <row r="23" spans="1:2" x14ac:dyDescent="0.25">
      <c r="A23" s="6" t="s">
        <v>109</v>
      </c>
      <c r="B23">
        <v>1</v>
      </c>
    </row>
    <row r="24" spans="1:2" x14ac:dyDescent="0.25">
      <c r="A24" s="6" t="s">
        <v>143</v>
      </c>
      <c r="B24">
        <v>1</v>
      </c>
    </row>
    <row r="25" spans="1:2" x14ac:dyDescent="0.25">
      <c r="A25" s="6" t="s">
        <v>159</v>
      </c>
      <c r="B25">
        <v>1</v>
      </c>
    </row>
    <row r="26" spans="1:2" x14ac:dyDescent="0.25">
      <c r="A26" s="6" t="s">
        <v>172</v>
      </c>
      <c r="B26">
        <v>1</v>
      </c>
    </row>
    <row r="27" spans="1:2" x14ac:dyDescent="0.25">
      <c r="A27" s="6" t="s">
        <v>54</v>
      </c>
      <c r="B27">
        <v>1</v>
      </c>
    </row>
    <row r="28" spans="1:2" x14ac:dyDescent="0.25">
      <c r="A28" s="6" t="s">
        <v>93</v>
      </c>
      <c r="B28">
        <v>1</v>
      </c>
    </row>
    <row r="29" spans="1:2" x14ac:dyDescent="0.25">
      <c r="A29" s="6" t="s">
        <v>111</v>
      </c>
      <c r="B29">
        <v>1</v>
      </c>
    </row>
    <row r="30" spans="1:2" x14ac:dyDescent="0.25">
      <c r="A30" s="6" t="s">
        <v>121</v>
      </c>
      <c r="B30">
        <v>1</v>
      </c>
    </row>
    <row r="31" spans="1:2" x14ac:dyDescent="0.25">
      <c r="A31" s="6" t="s">
        <v>140</v>
      </c>
      <c r="B31">
        <v>1</v>
      </c>
    </row>
    <row r="32" spans="1:2" x14ac:dyDescent="0.25">
      <c r="A32" s="6" t="s">
        <v>151</v>
      </c>
      <c r="B32">
        <v>1</v>
      </c>
    </row>
    <row r="33" spans="1:2" x14ac:dyDescent="0.25">
      <c r="A33" s="6" t="s">
        <v>69</v>
      </c>
      <c r="B33">
        <v>1</v>
      </c>
    </row>
    <row r="34" spans="1:2" x14ac:dyDescent="0.25">
      <c r="A34" s="6" t="s">
        <v>85</v>
      </c>
      <c r="B34">
        <v>1</v>
      </c>
    </row>
    <row r="35" spans="1:2" x14ac:dyDescent="0.25">
      <c r="A35" s="6" t="s">
        <v>138</v>
      </c>
      <c r="B35">
        <v>1</v>
      </c>
    </row>
    <row r="36" spans="1:2" x14ac:dyDescent="0.25">
      <c r="A36" s="6" t="s">
        <v>177</v>
      </c>
      <c r="B36">
        <v>1</v>
      </c>
    </row>
    <row r="37" spans="1:2" x14ac:dyDescent="0.25">
      <c r="A37" s="6" t="s">
        <v>67</v>
      </c>
      <c r="B37">
        <v>1</v>
      </c>
    </row>
    <row r="38" spans="1:2" x14ac:dyDescent="0.25">
      <c r="A38" s="6" t="s">
        <v>129</v>
      </c>
      <c r="B38">
        <v>1</v>
      </c>
    </row>
    <row r="39" spans="1:2" x14ac:dyDescent="0.25">
      <c r="A39" s="6" t="s">
        <v>187</v>
      </c>
      <c r="B39">
        <v>1</v>
      </c>
    </row>
    <row r="40" spans="1:2" x14ac:dyDescent="0.25">
      <c r="A40" s="6" t="s">
        <v>194</v>
      </c>
      <c r="B40">
        <v>1</v>
      </c>
    </row>
    <row r="41" spans="1:2" x14ac:dyDescent="0.25">
      <c r="A41" s="6" t="s">
        <v>56</v>
      </c>
      <c r="B41">
        <v>2</v>
      </c>
    </row>
    <row r="42" spans="1:2" x14ac:dyDescent="0.25">
      <c r="A42" s="6" t="s">
        <v>11</v>
      </c>
      <c r="B42">
        <v>2</v>
      </c>
    </row>
    <row r="43" spans="1:2" x14ac:dyDescent="0.25">
      <c r="A43" s="6" t="s">
        <v>107</v>
      </c>
      <c r="B43">
        <v>2</v>
      </c>
    </row>
    <row r="44" spans="1:2" x14ac:dyDescent="0.25">
      <c r="A44" s="6" t="s">
        <v>36</v>
      </c>
      <c r="B44">
        <v>2</v>
      </c>
    </row>
    <row r="45" spans="1:2" x14ac:dyDescent="0.25">
      <c r="A45" s="6" t="s">
        <v>108</v>
      </c>
      <c r="B45">
        <v>2</v>
      </c>
    </row>
    <row r="46" spans="1:2" x14ac:dyDescent="0.25">
      <c r="A46" s="6" t="s">
        <v>139</v>
      </c>
      <c r="B46">
        <v>2</v>
      </c>
    </row>
    <row r="47" spans="1:2" x14ac:dyDescent="0.25">
      <c r="A47" s="6" t="s">
        <v>144</v>
      </c>
      <c r="B47">
        <v>2</v>
      </c>
    </row>
    <row r="48" spans="1:2" x14ac:dyDescent="0.25">
      <c r="A48" s="6" t="s">
        <v>145</v>
      </c>
      <c r="B48">
        <v>2</v>
      </c>
    </row>
    <row r="49" spans="1:2" x14ac:dyDescent="0.25">
      <c r="A49" s="6" t="s">
        <v>169</v>
      </c>
      <c r="B49">
        <v>2</v>
      </c>
    </row>
    <row r="50" spans="1:2" x14ac:dyDescent="0.25">
      <c r="A50" s="6" t="s">
        <v>75</v>
      </c>
      <c r="B50">
        <v>3</v>
      </c>
    </row>
    <row r="51" spans="1:2" x14ac:dyDescent="0.25">
      <c r="A51" s="6" t="s">
        <v>99</v>
      </c>
      <c r="B51">
        <v>3</v>
      </c>
    </row>
    <row r="52" spans="1:2" x14ac:dyDescent="0.25">
      <c r="A52" s="6" t="s">
        <v>175</v>
      </c>
      <c r="B52">
        <v>3</v>
      </c>
    </row>
    <row r="53" spans="1:2" x14ac:dyDescent="0.25">
      <c r="A53" s="6" t="s">
        <v>176</v>
      </c>
      <c r="B53">
        <v>3</v>
      </c>
    </row>
    <row r="54" spans="1:2" x14ac:dyDescent="0.25">
      <c r="A54" s="6" t="s">
        <v>180</v>
      </c>
      <c r="B54">
        <v>3</v>
      </c>
    </row>
    <row r="55" spans="1:2" x14ac:dyDescent="0.25">
      <c r="A55" s="6" t="s">
        <v>81</v>
      </c>
      <c r="B55">
        <v>3</v>
      </c>
    </row>
    <row r="56" spans="1:2" x14ac:dyDescent="0.25">
      <c r="A56" s="6" t="s">
        <v>179</v>
      </c>
      <c r="B56">
        <v>3</v>
      </c>
    </row>
    <row r="57" spans="1:2" x14ac:dyDescent="0.25">
      <c r="A57" s="6" t="s">
        <v>12</v>
      </c>
      <c r="B57">
        <v>3</v>
      </c>
    </row>
    <row r="58" spans="1:2" x14ac:dyDescent="0.25">
      <c r="A58" s="6" t="s">
        <v>102</v>
      </c>
      <c r="B58">
        <v>3</v>
      </c>
    </row>
    <row r="59" spans="1:2" x14ac:dyDescent="0.25">
      <c r="A59" s="6" t="s">
        <v>163</v>
      </c>
      <c r="B59">
        <v>3</v>
      </c>
    </row>
    <row r="60" spans="1:2" x14ac:dyDescent="0.25">
      <c r="A60" s="6" t="s">
        <v>103</v>
      </c>
      <c r="B60">
        <v>3</v>
      </c>
    </row>
    <row r="61" spans="1:2" x14ac:dyDescent="0.25">
      <c r="A61" s="6" t="s">
        <v>77</v>
      </c>
      <c r="B61">
        <v>3</v>
      </c>
    </row>
    <row r="62" spans="1:2" x14ac:dyDescent="0.25">
      <c r="A62" s="6" t="s">
        <v>193</v>
      </c>
      <c r="B62">
        <v>3</v>
      </c>
    </row>
    <row r="63" spans="1:2" x14ac:dyDescent="0.25">
      <c r="A63" s="6" t="s">
        <v>73</v>
      </c>
      <c r="B63">
        <v>3</v>
      </c>
    </row>
    <row r="64" spans="1:2" x14ac:dyDescent="0.25">
      <c r="A64" s="6" t="s">
        <v>90</v>
      </c>
      <c r="B64">
        <v>3</v>
      </c>
    </row>
    <row r="65" spans="1:2" x14ac:dyDescent="0.25">
      <c r="A65" s="6" t="s">
        <v>116</v>
      </c>
      <c r="B65">
        <v>3</v>
      </c>
    </row>
    <row r="66" spans="1:2" x14ac:dyDescent="0.25">
      <c r="A66" s="6" t="s">
        <v>120</v>
      </c>
      <c r="B66">
        <v>3</v>
      </c>
    </row>
    <row r="67" spans="1:2" x14ac:dyDescent="0.25">
      <c r="A67" s="6" t="s">
        <v>183</v>
      </c>
      <c r="B67">
        <v>3</v>
      </c>
    </row>
    <row r="68" spans="1:2" x14ac:dyDescent="0.25">
      <c r="A68" s="6" t="s">
        <v>199</v>
      </c>
      <c r="B68">
        <v>3</v>
      </c>
    </row>
    <row r="69" spans="1:2" x14ac:dyDescent="0.25">
      <c r="A69" s="6" t="s">
        <v>110</v>
      </c>
      <c r="B69">
        <v>3</v>
      </c>
    </row>
    <row r="70" spans="1:2" x14ac:dyDescent="0.25">
      <c r="A70" s="6" t="s">
        <v>117</v>
      </c>
      <c r="B70">
        <v>3</v>
      </c>
    </row>
    <row r="71" spans="1:2" x14ac:dyDescent="0.25">
      <c r="A71" s="6" t="s">
        <v>150</v>
      </c>
      <c r="B71">
        <v>3</v>
      </c>
    </row>
    <row r="72" spans="1:2" x14ac:dyDescent="0.25">
      <c r="A72" s="6" t="s">
        <v>170</v>
      </c>
      <c r="B72">
        <v>3</v>
      </c>
    </row>
    <row r="73" spans="1:2" x14ac:dyDescent="0.25">
      <c r="A73" s="6" t="s">
        <v>171</v>
      </c>
      <c r="B73">
        <v>3</v>
      </c>
    </row>
    <row r="74" spans="1:2" x14ac:dyDescent="0.25">
      <c r="A74" s="6" t="s">
        <v>113</v>
      </c>
      <c r="B74">
        <v>3</v>
      </c>
    </row>
    <row r="75" spans="1:2" x14ac:dyDescent="0.25">
      <c r="A75" s="6" t="s">
        <v>128</v>
      </c>
      <c r="B75">
        <v>3</v>
      </c>
    </row>
    <row r="76" spans="1:2" x14ac:dyDescent="0.25">
      <c r="A76" s="6" t="s">
        <v>146</v>
      </c>
      <c r="B76">
        <v>3</v>
      </c>
    </row>
    <row r="77" spans="1:2" x14ac:dyDescent="0.25">
      <c r="A77" s="6" t="s">
        <v>161</v>
      </c>
      <c r="B77">
        <v>3</v>
      </c>
    </row>
    <row r="78" spans="1:2" x14ac:dyDescent="0.25">
      <c r="A78" s="6" t="s">
        <v>137</v>
      </c>
      <c r="B78">
        <v>3</v>
      </c>
    </row>
    <row r="79" spans="1:2" x14ac:dyDescent="0.25">
      <c r="A79" s="6" t="s">
        <v>157</v>
      </c>
      <c r="B79">
        <v>3</v>
      </c>
    </row>
    <row r="80" spans="1:2" x14ac:dyDescent="0.25">
      <c r="A80" s="6" t="s">
        <v>181</v>
      </c>
      <c r="B80">
        <v>3</v>
      </c>
    </row>
    <row r="81" spans="1:2" x14ac:dyDescent="0.25">
      <c r="A81" s="6" t="s">
        <v>198</v>
      </c>
      <c r="B81">
        <v>3</v>
      </c>
    </row>
    <row r="82" spans="1:2" x14ac:dyDescent="0.25">
      <c r="A82" s="6" t="s">
        <v>79</v>
      </c>
      <c r="B82">
        <v>3</v>
      </c>
    </row>
    <row r="83" spans="1:2" x14ac:dyDescent="0.25">
      <c r="A83" s="6" t="s">
        <v>123</v>
      </c>
      <c r="B83">
        <v>3</v>
      </c>
    </row>
    <row r="84" spans="1:2" x14ac:dyDescent="0.25">
      <c r="A84" s="6" t="s">
        <v>148</v>
      </c>
      <c r="B84">
        <v>3</v>
      </c>
    </row>
    <row r="85" spans="1:2" x14ac:dyDescent="0.25">
      <c r="A85" s="6" t="s">
        <v>95</v>
      </c>
      <c r="B85">
        <v>4</v>
      </c>
    </row>
    <row r="86" spans="1:2" x14ac:dyDescent="0.25">
      <c r="A86" s="6" t="s">
        <v>60</v>
      </c>
      <c r="B86">
        <v>4</v>
      </c>
    </row>
    <row r="87" spans="1:2" x14ac:dyDescent="0.25">
      <c r="A87" s="6" t="s">
        <v>83</v>
      </c>
      <c r="B87">
        <v>4</v>
      </c>
    </row>
    <row r="88" spans="1:2" x14ac:dyDescent="0.25">
      <c r="A88" s="6" t="s">
        <v>92</v>
      </c>
      <c r="B88">
        <v>4</v>
      </c>
    </row>
    <row r="89" spans="1:2" x14ac:dyDescent="0.25">
      <c r="A89" s="6" t="s">
        <v>101</v>
      </c>
      <c r="B89">
        <v>4</v>
      </c>
    </row>
    <row r="90" spans="1:2" x14ac:dyDescent="0.25">
      <c r="A90" s="6" t="s">
        <v>141</v>
      </c>
      <c r="B90">
        <v>4</v>
      </c>
    </row>
    <row r="91" spans="1:2" x14ac:dyDescent="0.25">
      <c r="A91" s="6" t="s">
        <v>158</v>
      </c>
      <c r="B91">
        <v>4</v>
      </c>
    </row>
    <row r="92" spans="1:2" x14ac:dyDescent="0.25">
      <c r="A92" s="6" t="s">
        <v>167</v>
      </c>
      <c r="B92">
        <v>4</v>
      </c>
    </row>
    <row r="93" spans="1:2" x14ac:dyDescent="0.25">
      <c r="A93" s="6" t="s">
        <v>97</v>
      </c>
      <c r="B93">
        <v>4</v>
      </c>
    </row>
    <row r="94" spans="1:2" x14ac:dyDescent="0.25">
      <c r="A94" s="6" t="s">
        <v>104</v>
      </c>
      <c r="B94">
        <v>4</v>
      </c>
    </row>
    <row r="95" spans="1:2" x14ac:dyDescent="0.25">
      <c r="A95" s="6" t="s">
        <v>105</v>
      </c>
      <c r="B95">
        <v>4</v>
      </c>
    </row>
    <row r="96" spans="1:2" x14ac:dyDescent="0.25">
      <c r="A96" s="6" t="s">
        <v>122</v>
      </c>
      <c r="B96">
        <v>4</v>
      </c>
    </row>
    <row r="97" spans="1:2" x14ac:dyDescent="0.25">
      <c r="A97" s="6" t="s">
        <v>130</v>
      </c>
      <c r="B97">
        <v>4</v>
      </c>
    </row>
    <row r="98" spans="1:2" x14ac:dyDescent="0.25">
      <c r="A98" s="6" t="s">
        <v>162</v>
      </c>
      <c r="B98">
        <v>4</v>
      </c>
    </row>
    <row r="99" spans="1:2" x14ac:dyDescent="0.25">
      <c r="A99" s="6" t="s">
        <v>168</v>
      </c>
      <c r="B99">
        <v>4</v>
      </c>
    </row>
    <row r="100" spans="1:2" x14ac:dyDescent="0.25">
      <c r="A100" s="6" t="s">
        <v>189</v>
      </c>
      <c r="B100">
        <v>4</v>
      </c>
    </row>
    <row r="101" spans="1:2" x14ac:dyDescent="0.25">
      <c r="A101" s="6" t="s">
        <v>190</v>
      </c>
      <c r="B101">
        <v>4</v>
      </c>
    </row>
    <row r="102" spans="1:2" x14ac:dyDescent="0.25">
      <c r="A102" s="6" t="s">
        <v>119</v>
      </c>
      <c r="B102">
        <v>4</v>
      </c>
    </row>
    <row r="103" spans="1:2" x14ac:dyDescent="0.25">
      <c r="A103" s="6" t="s">
        <v>166</v>
      </c>
      <c r="B103">
        <v>4</v>
      </c>
    </row>
    <row r="104" spans="1:2" x14ac:dyDescent="0.25">
      <c r="A104" s="6" t="s">
        <v>125</v>
      </c>
      <c r="B104">
        <v>4</v>
      </c>
    </row>
    <row r="105" spans="1:2" x14ac:dyDescent="0.25">
      <c r="A105" s="6" t="s">
        <v>91</v>
      </c>
      <c r="B105">
        <v>4</v>
      </c>
    </row>
    <row r="106" spans="1:2" x14ac:dyDescent="0.25">
      <c r="A106" s="6" t="s">
        <v>127</v>
      </c>
      <c r="B106">
        <v>4</v>
      </c>
    </row>
    <row r="107" spans="1:2" x14ac:dyDescent="0.25">
      <c r="A107" s="6" t="s">
        <v>152</v>
      </c>
      <c r="B107">
        <v>4</v>
      </c>
    </row>
    <row r="108" spans="1:2" x14ac:dyDescent="0.25">
      <c r="A108" s="6" t="s">
        <v>174</v>
      </c>
      <c r="B108">
        <v>4</v>
      </c>
    </row>
    <row r="109" spans="1:2" x14ac:dyDescent="0.25">
      <c r="A109" s="6" t="s">
        <v>94</v>
      </c>
      <c r="B109">
        <v>5</v>
      </c>
    </row>
    <row r="110" spans="1:2" x14ac:dyDescent="0.25">
      <c r="A110" s="6" t="s">
        <v>132</v>
      </c>
      <c r="B110">
        <v>5</v>
      </c>
    </row>
    <row r="111" spans="1:2" x14ac:dyDescent="0.25">
      <c r="A111" s="6" t="s">
        <v>164</v>
      </c>
      <c r="B111">
        <v>5</v>
      </c>
    </row>
    <row r="112" spans="1:2" x14ac:dyDescent="0.25">
      <c r="A112" s="6" t="s">
        <v>196</v>
      </c>
      <c r="B112">
        <v>5</v>
      </c>
    </row>
    <row r="113" spans="1:2" x14ac:dyDescent="0.25">
      <c r="A113" s="6" t="s">
        <v>200</v>
      </c>
      <c r="B113">
        <v>5</v>
      </c>
    </row>
    <row r="114" spans="1:2" x14ac:dyDescent="0.25">
      <c r="A114" s="6" t="s">
        <v>53</v>
      </c>
      <c r="B114">
        <v>5</v>
      </c>
    </row>
    <row r="115" spans="1:2" x14ac:dyDescent="0.25">
      <c r="A115" s="6" t="s">
        <v>155</v>
      </c>
      <c r="B115">
        <v>5</v>
      </c>
    </row>
    <row r="116" spans="1:2" x14ac:dyDescent="0.25">
      <c r="A116" s="6" t="s">
        <v>124</v>
      </c>
      <c r="B116">
        <v>5</v>
      </c>
    </row>
    <row r="117" spans="1:2" x14ac:dyDescent="0.25">
      <c r="A117" s="6" t="s">
        <v>153</v>
      </c>
      <c r="B117">
        <v>5</v>
      </c>
    </row>
    <row r="118" spans="1:2" x14ac:dyDescent="0.25">
      <c r="A118" s="6" t="s">
        <v>106</v>
      </c>
      <c r="B118">
        <v>5</v>
      </c>
    </row>
    <row r="119" spans="1:2" x14ac:dyDescent="0.25">
      <c r="A119" s="6" t="s">
        <v>118</v>
      </c>
      <c r="B119">
        <v>5</v>
      </c>
    </row>
    <row r="120" spans="1:2" x14ac:dyDescent="0.25">
      <c r="A120" s="6" t="s">
        <v>133</v>
      </c>
      <c r="B120">
        <v>5</v>
      </c>
    </row>
    <row r="121" spans="1:2" x14ac:dyDescent="0.25">
      <c r="A121" s="6" t="s">
        <v>135</v>
      </c>
      <c r="B121">
        <v>5</v>
      </c>
    </row>
    <row r="122" spans="1:2" x14ac:dyDescent="0.25">
      <c r="A122" s="6" t="s">
        <v>136</v>
      </c>
      <c r="B122">
        <v>5</v>
      </c>
    </row>
    <row r="123" spans="1:2" x14ac:dyDescent="0.25">
      <c r="A123" s="6" t="s">
        <v>147</v>
      </c>
      <c r="B123">
        <v>5</v>
      </c>
    </row>
    <row r="124" spans="1:2" x14ac:dyDescent="0.25">
      <c r="A124" s="6" t="s">
        <v>149</v>
      </c>
      <c r="B124">
        <v>5</v>
      </c>
    </row>
    <row r="125" spans="1:2" x14ac:dyDescent="0.25">
      <c r="A125" s="6" t="s">
        <v>156</v>
      </c>
      <c r="B125">
        <v>5</v>
      </c>
    </row>
    <row r="126" spans="1:2" x14ac:dyDescent="0.25">
      <c r="A126" s="6" t="s">
        <v>173</v>
      </c>
      <c r="B126">
        <v>5</v>
      </c>
    </row>
    <row r="127" spans="1:2" x14ac:dyDescent="0.25">
      <c r="A127" s="6" t="s">
        <v>195</v>
      </c>
      <c r="B127">
        <v>5</v>
      </c>
    </row>
    <row r="128" spans="1:2" x14ac:dyDescent="0.25">
      <c r="A128" s="6" t="s">
        <v>154</v>
      </c>
      <c r="B128">
        <v>5</v>
      </c>
    </row>
    <row r="129" spans="1:2" x14ac:dyDescent="0.25">
      <c r="A129" s="6" t="s">
        <v>165</v>
      </c>
      <c r="B129">
        <v>5</v>
      </c>
    </row>
    <row r="130" spans="1:2" x14ac:dyDescent="0.25">
      <c r="A130" s="6" t="s">
        <v>191</v>
      </c>
      <c r="B130">
        <v>5</v>
      </c>
    </row>
    <row r="131" spans="1:2" x14ac:dyDescent="0.25">
      <c r="A131" s="6" t="s">
        <v>112</v>
      </c>
      <c r="B131">
        <v>5</v>
      </c>
    </row>
    <row r="132" spans="1:2" x14ac:dyDescent="0.25">
      <c r="A132" s="6" t="s">
        <v>131</v>
      </c>
      <c r="B132">
        <v>5</v>
      </c>
    </row>
    <row r="133" spans="1:2" x14ac:dyDescent="0.25">
      <c r="A133" s="6" t="s">
        <v>184</v>
      </c>
      <c r="B133">
        <v>5</v>
      </c>
    </row>
    <row r="134" spans="1:2" x14ac:dyDescent="0.25">
      <c r="A134" s="6" t="s">
        <v>188</v>
      </c>
      <c r="B13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3C66-BCDC-4311-82C3-2D8D0E37336E}">
  <dimension ref="A1:S135"/>
  <sheetViews>
    <sheetView topLeftCell="A4" workbookViewId="0">
      <selection activeCell="M28" sqref="M28"/>
    </sheetView>
  </sheetViews>
  <sheetFormatPr defaultRowHeight="15" x14ac:dyDescent="0.25"/>
  <cols>
    <col min="1" max="1" width="23.85546875" customWidth="1"/>
    <col min="2" max="3" width="12.7109375" customWidth="1"/>
    <col min="4" max="4" width="12.7109375" style="2" customWidth="1"/>
    <col min="5" max="19" width="12.7109375" customWidth="1"/>
  </cols>
  <sheetData>
    <row r="1" spans="1:19" x14ac:dyDescent="0.25">
      <c r="A1">
        <v>1</v>
      </c>
      <c r="B1">
        <v>2</v>
      </c>
      <c r="C1">
        <v>3</v>
      </c>
      <c r="D1" s="2">
        <v>4</v>
      </c>
      <c r="E1">
        <v>5</v>
      </c>
      <c r="F1">
        <v>6</v>
      </c>
      <c r="G1">
        <v>7</v>
      </c>
      <c r="H1" s="2">
        <v>8</v>
      </c>
      <c r="I1">
        <v>9</v>
      </c>
      <c r="J1">
        <v>10</v>
      </c>
      <c r="K1">
        <v>11</v>
      </c>
      <c r="L1" s="2">
        <v>12</v>
      </c>
      <c r="M1">
        <v>13</v>
      </c>
      <c r="N1">
        <v>14</v>
      </c>
      <c r="O1">
        <v>15</v>
      </c>
      <c r="P1" s="2">
        <v>16</v>
      </c>
      <c r="Q1">
        <v>17</v>
      </c>
      <c r="R1">
        <v>18</v>
      </c>
      <c r="S1">
        <v>19</v>
      </c>
    </row>
    <row r="2" spans="1:19" s="1" customFormat="1" x14ac:dyDescent="0.25">
      <c r="B2" s="4" t="s">
        <v>55</v>
      </c>
      <c r="C2" s="4" t="s">
        <v>57</v>
      </c>
      <c r="D2" s="4" t="s">
        <v>59</v>
      </c>
      <c r="E2" s="4" t="s">
        <v>61</v>
      </c>
      <c r="F2" s="4" t="s">
        <v>63</v>
      </c>
      <c r="G2" s="4" t="s">
        <v>65</v>
      </c>
      <c r="H2" s="4" t="s">
        <v>66</v>
      </c>
      <c r="I2" s="4" t="s">
        <v>68</v>
      </c>
      <c r="J2" s="4" t="s">
        <v>70</v>
      </c>
      <c r="K2" s="4" t="s">
        <v>72</v>
      </c>
      <c r="L2" s="4" t="s">
        <v>74</v>
      </c>
      <c r="M2" s="4" t="s">
        <v>76</v>
      </c>
      <c r="N2" s="4" t="s">
        <v>78</v>
      </c>
      <c r="O2" s="4" t="s">
        <v>80</v>
      </c>
      <c r="P2" s="4" t="s">
        <v>82</v>
      </c>
      <c r="Q2" s="4" t="s">
        <v>84</v>
      </c>
      <c r="R2" s="4" t="s">
        <v>86</v>
      </c>
      <c r="S2" s="4" t="s">
        <v>88</v>
      </c>
    </row>
    <row r="3" spans="1:19" x14ac:dyDescent="0.25">
      <c r="A3" t="s">
        <v>53</v>
      </c>
      <c r="B3" s="2"/>
      <c r="C3" s="2"/>
      <c r="D3" s="2">
        <v>30734</v>
      </c>
      <c r="E3" s="2">
        <f>IFERROR(VLOOKUP(A3,'2025 coop match data'!$A$4:$D$94,2,FALSE),"")</f>
        <v>10982</v>
      </c>
    </row>
    <row r="4" spans="1:19" x14ac:dyDescent="0.25">
      <c r="A4" t="s">
        <v>54</v>
      </c>
      <c r="B4" s="2"/>
      <c r="C4" s="2"/>
      <c r="E4" s="2">
        <f>IFERROR(VLOOKUP(A4,'2025 coop match data'!$A$4:$D$94,2,FALSE),"")</f>
        <v>5000</v>
      </c>
    </row>
    <row r="5" spans="1:19" x14ac:dyDescent="0.25">
      <c r="A5" t="s">
        <v>56</v>
      </c>
      <c r="B5" s="2"/>
      <c r="C5" s="2"/>
      <c r="E5" s="2">
        <f>IFERROR(VLOOKUP(A5,'2025 coop match data'!$A$4:$D$94,2,FALSE),"")</f>
        <v>0</v>
      </c>
    </row>
    <row r="6" spans="1:19" x14ac:dyDescent="0.25">
      <c r="A6" t="s">
        <v>58</v>
      </c>
      <c r="B6" s="2"/>
      <c r="C6" s="2"/>
      <c r="E6" s="2">
        <f>IFERROR(VLOOKUP(A6,'2025 coop match data'!$A$4:$D$94,2,FALSE),"")</f>
        <v>28995</v>
      </c>
    </row>
    <row r="7" spans="1:19" x14ac:dyDescent="0.25">
      <c r="A7" t="s">
        <v>60</v>
      </c>
      <c r="B7" s="2"/>
      <c r="C7" s="2"/>
      <c r="E7" s="2">
        <v>0</v>
      </c>
    </row>
    <row r="8" spans="1:19" x14ac:dyDescent="0.25">
      <c r="A8" t="s">
        <v>62</v>
      </c>
      <c r="B8" s="2"/>
      <c r="C8" s="2"/>
      <c r="E8" s="2">
        <v>0</v>
      </c>
    </row>
    <row r="9" spans="1:19" x14ac:dyDescent="0.25">
      <c r="A9" t="s">
        <v>64</v>
      </c>
      <c r="B9" s="2"/>
      <c r="C9" s="2"/>
      <c r="E9" s="2">
        <v>0</v>
      </c>
    </row>
    <row r="10" spans="1:19" x14ac:dyDescent="0.25">
      <c r="A10" t="s">
        <v>11</v>
      </c>
      <c r="B10" s="2"/>
      <c r="C10" s="2"/>
      <c r="D10" s="2">
        <v>149952</v>
      </c>
      <c r="E10" s="2">
        <v>122633</v>
      </c>
    </row>
    <row r="11" spans="1:19" x14ac:dyDescent="0.25">
      <c r="A11" t="s">
        <v>67</v>
      </c>
      <c r="B11" s="2"/>
      <c r="C11" s="2"/>
      <c r="E11" s="2">
        <v>0</v>
      </c>
    </row>
    <row r="12" spans="1:19" x14ac:dyDescent="0.25">
      <c r="A12" t="s">
        <v>69</v>
      </c>
      <c r="B12" s="2"/>
      <c r="C12" s="2"/>
      <c r="E12" s="2">
        <v>0</v>
      </c>
    </row>
    <row r="13" spans="1:19" x14ac:dyDescent="0.25">
      <c r="A13" t="s">
        <v>71</v>
      </c>
      <c r="B13" s="2"/>
      <c r="C13" s="2"/>
      <c r="E13" s="2">
        <v>45000</v>
      </c>
    </row>
    <row r="14" spans="1:19" x14ac:dyDescent="0.25">
      <c r="A14" t="s">
        <v>73</v>
      </c>
      <c r="B14" s="2"/>
      <c r="C14" s="2"/>
      <c r="E14" s="2">
        <v>0</v>
      </c>
    </row>
    <row r="15" spans="1:19" x14ac:dyDescent="0.25">
      <c r="A15" t="s">
        <v>75</v>
      </c>
      <c r="B15" s="2"/>
      <c r="C15" s="2"/>
      <c r="E15" s="2">
        <v>0</v>
      </c>
    </row>
    <row r="16" spans="1:19" x14ac:dyDescent="0.25">
      <c r="A16" t="s">
        <v>77</v>
      </c>
      <c r="B16" s="2"/>
      <c r="C16" s="2"/>
      <c r="E16" s="2">
        <v>0</v>
      </c>
    </row>
    <row r="17" spans="1:5" x14ac:dyDescent="0.25">
      <c r="A17" t="s">
        <v>79</v>
      </c>
      <c r="B17" s="2"/>
      <c r="C17" s="2"/>
      <c r="E17" s="2">
        <v>0</v>
      </c>
    </row>
    <row r="18" spans="1:5" x14ac:dyDescent="0.25">
      <c r="A18" t="s">
        <v>81</v>
      </c>
      <c r="B18" s="2"/>
      <c r="C18" s="2"/>
      <c r="E18" s="2">
        <v>0</v>
      </c>
    </row>
    <row r="19" spans="1:5" x14ac:dyDescent="0.25">
      <c r="A19" t="s">
        <v>83</v>
      </c>
      <c r="B19" s="2"/>
      <c r="C19" s="2"/>
      <c r="E19" s="2">
        <v>0</v>
      </c>
    </row>
    <row r="20" spans="1:5" x14ac:dyDescent="0.25">
      <c r="A20" t="s">
        <v>85</v>
      </c>
      <c r="B20" s="2"/>
      <c r="C20" s="2"/>
      <c r="D20" s="2">
        <v>7266</v>
      </c>
      <c r="E20" s="2">
        <f>IFERROR(VLOOKUP(A20,'2025 coop match data'!$A$4:$D$94,2,FALSE),"")</f>
        <v>3352</v>
      </c>
    </row>
    <row r="21" spans="1:5" x14ac:dyDescent="0.25">
      <c r="A21" t="s">
        <v>87</v>
      </c>
      <c r="B21" s="2"/>
      <c r="C21" s="2"/>
      <c r="E21" s="2">
        <f>IFERROR(VLOOKUP(A21,'2025 coop match data'!$A$4:$D$94,2,FALSE),"")</f>
        <v>0</v>
      </c>
    </row>
    <row r="22" spans="1:5" x14ac:dyDescent="0.25">
      <c r="A22" t="s">
        <v>89</v>
      </c>
      <c r="B22" s="2"/>
      <c r="C22" s="2"/>
      <c r="D22" s="2">
        <v>17290</v>
      </c>
      <c r="E22" s="2">
        <f>IFERROR(VLOOKUP(A22,'2025 coop match data'!$A$4:$D$94,2,FALSE),"")</f>
        <v>17290</v>
      </c>
    </row>
    <row r="23" spans="1:5" x14ac:dyDescent="0.25">
      <c r="A23" t="s">
        <v>90</v>
      </c>
      <c r="B23" s="2"/>
      <c r="C23" s="2"/>
      <c r="E23" s="2">
        <f>IFERROR(VLOOKUP(A23,'2025 coop match data'!$A$4:$D$94,2,FALSE),"")</f>
        <v>0</v>
      </c>
    </row>
    <row r="24" spans="1:5" x14ac:dyDescent="0.25">
      <c r="A24" t="s">
        <v>91</v>
      </c>
      <c r="B24" s="2"/>
      <c r="C24" s="2"/>
      <c r="E24" s="2">
        <f>IFERROR(VLOOKUP(A24,'2025 coop match data'!$A$4:$D$94,2,FALSE),"")</f>
        <v>0</v>
      </c>
    </row>
    <row r="25" spans="1:5" x14ac:dyDescent="0.25">
      <c r="A25" t="s">
        <v>92</v>
      </c>
      <c r="B25" s="2"/>
      <c r="C25" s="2"/>
      <c r="E25" s="2">
        <v>0</v>
      </c>
    </row>
    <row r="26" spans="1:5" x14ac:dyDescent="0.25">
      <c r="A26" t="s">
        <v>93</v>
      </c>
      <c r="B26" s="2"/>
      <c r="C26" s="2"/>
      <c r="E26" s="2">
        <f>IFERROR(VLOOKUP(A26,'2025 coop match data'!$A$4:$D$94,2,FALSE),"")</f>
        <v>0</v>
      </c>
    </row>
    <row r="27" spans="1:5" x14ac:dyDescent="0.25">
      <c r="A27" t="s">
        <v>94</v>
      </c>
      <c r="B27" s="2"/>
      <c r="C27" s="2"/>
      <c r="E27" s="2">
        <f>IFERROR(VLOOKUP(A27,'2025 coop match data'!$A$4:$D$94,2,FALSE),"")</f>
        <v>0</v>
      </c>
    </row>
    <row r="28" spans="1:5" x14ac:dyDescent="0.25">
      <c r="A28" t="s">
        <v>95</v>
      </c>
      <c r="B28" s="2"/>
      <c r="C28" s="2"/>
      <c r="D28" s="2">
        <v>89527</v>
      </c>
      <c r="E28" s="2">
        <f>IFERROR(VLOOKUP(A28,'2025 coop match data'!$A$4:$D$94,2,FALSE),"")</f>
        <v>73592</v>
      </c>
    </row>
    <row r="29" spans="1:5" x14ac:dyDescent="0.25">
      <c r="A29" t="s">
        <v>96</v>
      </c>
      <c r="B29" s="2"/>
      <c r="C29" s="2"/>
      <c r="E29" s="2">
        <f>IFERROR(VLOOKUP(A29,'2025 coop match data'!$A$4:$D$94,2,FALSE),"")</f>
        <v>0</v>
      </c>
    </row>
    <row r="30" spans="1:5" x14ac:dyDescent="0.25">
      <c r="A30" t="s">
        <v>97</v>
      </c>
      <c r="B30" s="2"/>
      <c r="C30" s="2"/>
      <c r="D30" s="2">
        <v>30400</v>
      </c>
      <c r="E30" s="2">
        <f>IFERROR(VLOOKUP(A30,'2025 coop match data'!$A$4:$D$94,2,FALSE),"")</f>
        <v>5946</v>
      </c>
    </row>
    <row r="31" spans="1:5" x14ac:dyDescent="0.25">
      <c r="A31" t="s">
        <v>98</v>
      </c>
      <c r="B31" s="2"/>
      <c r="C31" s="2"/>
      <c r="E31" s="2">
        <f>IFERROR(VLOOKUP(A31,'2025 coop match data'!$A$4:$D$94,2,FALSE),"")</f>
        <v>13612</v>
      </c>
    </row>
    <row r="32" spans="1:5" x14ac:dyDescent="0.25">
      <c r="A32" t="s">
        <v>99</v>
      </c>
      <c r="B32" s="2"/>
      <c r="C32" s="2"/>
      <c r="E32" s="2">
        <v>0</v>
      </c>
    </row>
    <row r="33" spans="1:5" x14ac:dyDescent="0.25">
      <c r="A33" t="s">
        <v>100</v>
      </c>
      <c r="B33" s="2"/>
      <c r="C33" s="2"/>
      <c r="E33" s="2">
        <f>IFERROR(VLOOKUP(A33,'2025 coop match data'!$A$4:$D$94,2,FALSE),"")</f>
        <v>0</v>
      </c>
    </row>
    <row r="34" spans="1:5" x14ac:dyDescent="0.25">
      <c r="A34" t="s">
        <v>101</v>
      </c>
      <c r="B34" s="2"/>
      <c r="C34" s="2"/>
      <c r="E34" s="2">
        <v>0</v>
      </c>
    </row>
    <row r="35" spans="1:5" x14ac:dyDescent="0.25">
      <c r="A35" t="s">
        <v>102</v>
      </c>
      <c r="B35" s="2"/>
      <c r="C35" s="2"/>
      <c r="D35" s="2">
        <v>31687</v>
      </c>
      <c r="E35" s="2">
        <v>40000</v>
      </c>
    </row>
    <row r="36" spans="1:5" x14ac:dyDescent="0.25">
      <c r="A36" t="s">
        <v>103</v>
      </c>
      <c r="B36" s="2"/>
      <c r="C36" s="2"/>
      <c r="E36" s="2">
        <f>IFERROR(VLOOKUP(A36,'2025 coop match data'!$A$4:$D$94,2,FALSE),"")</f>
        <v>0</v>
      </c>
    </row>
    <row r="37" spans="1:5" x14ac:dyDescent="0.25">
      <c r="A37" t="s">
        <v>104</v>
      </c>
      <c r="B37" s="2"/>
      <c r="C37" s="2"/>
      <c r="E37" s="2">
        <v>0</v>
      </c>
    </row>
    <row r="38" spans="1:5" x14ac:dyDescent="0.25">
      <c r="A38" t="s">
        <v>105</v>
      </c>
      <c r="B38" s="2"/>
      <c r="C38" s="2"/>
      <c r="E38" s="2">
        <v>0</v>
      </c>
    </row>
    <row r="39" spans="1:5" x14ac:dyDescent="0.25">
      <c r="A39" t="s">
        <v>106</v>
      </c>
      <c r="B39" s="2"/>
      <c r="C39" s="2"/>
      <c r="E39" s="2">
        <v>0</v>
      </c>
    </row>
    <row r="40" spans="1:5" x14ac:dyDescent="0.25">
      <c r="A40" t="s">
        <v>107</v>
      </c>
      <c r="B40" s="2"/>
      <c r="C40" s="2"/>
      <c r="E40" s="2">
        <v>0</v>
      </c>
    </row>
    <row r="41" spans="1:5" x14ac:dyDescent="0.25">
      <c r="A41" t="s">
        <v>36</v>
      </c>
      <c r="B41" s="2"/>
      <c r="C41" s="2"/>
      <c r="D41" s="2">
        <f>808053+55935</f>
        <v>863988</v>
      </c>
      <c r="E41" s="2">
        <v>157804</v>
      </c>
    </row>
    <row r="42" spans="1:5" x14ac:dyDescent="0.25">
      <c r="A42" t="s">
        <v>108</v>
      </c>
      <c r="B42" s="2"/>
      <c r="C42" s="2"/>
      <c r="E42" s="2">
        <v>0</v>
      </c>
    </row>
    <row r="43" spans="1:5" x14ac:dyDescent="0.25">
      <c r="A43" t="s">
        <v>109</v>
      </c>
      <c r="B43" s="2"/>
      <c r="C43" s="2"/>
      <c r="E43" s="2">
        <v>0</v>
      </c>
    </row>
    <row r="44" spans="1:5" x14ac:dyDescent="0.25">
      <c r="A44" t="s">
        <v>110</v>
      </c>
      <c r="B44" s="2"/>
      <c r="C44" s="2"/>
      <c r="D44" s="2">
        <v>19805</v>
      </c>
      <c r="E44" s="2">
        <f>IFERROR(VLOOKUP(A44,'2025 coop match data'!$A$4:$D$94,2,FALSE),"")</f>
        <v>3570</v>
      </c>
    </row>
    <row r="45" spans="1:5" x14ac:dyDescent="0.25">
      <c r="A45" t="s">
        <v>111</v>
      </c>
      <c r="B45" s="2"/>
      <c r="C45" s="2"/>
      <c r="E45" s="2">
        <f>IFERROR(VLOOKUP(A45,'2025 coop match data'!$A$4:$D$94,2,FALSE),"")</f>
        <v>0</v>
      </c>
    </row>
    <row r="46" spans="1:5" x14ac:dyDescent="0.25">
      <c r="A46" t="s">
        <v>112</v>
      </c>
      <c r="B46" s="2"/>
      <c r="C46" s="2"/>
      <c r="E46" s="2">
        <v>0</v>
      </c>
    </row>
    <row r="47" spans="1:5" x14ac:dyDescent="0.25">
      <c r="A47" t="s">
        <v>113</v>
      </c>
      <c r="B47" s="2"/>
      <c r="C47" s="2"/>
      <c r="E47" s="2">
        <v>9204</v>
      </c>
    </row>
    <row r="48" spans="1:5" x14ac:dyDescent="0.25">
      <c r="A48" t="s">
        <v>114</v>
      </c>
      <c r="B48" s="2"/>
      <c r="C48" s="2"/>
      <c r="E48" s="2">
        <f>IFERROR(VLOOKUP(A48,'2025 coop match data'!$A$4:$D$94,2,FALSE),"")</f>
        <v>0</v>
      </c>
    </row>
    <row r="49" spans="1:5" x14ac:dyDescent="0.25">
      <c r="A49" t="s">
        <v>115</v>
      </c>
      <c r="B49" s="2"/>
      <c r="C49" s="2"/>
      <c r="D49" s="2">
        <v>37050</v>
      </c>
      <c r="E49" s="2">
        <f>IFERROR(VLOOKUP(A49,'2025 coop match data'!$A$4:$D$94,2,FALSE),"")</f>
        <v>24002</v>
      </c>
    </row>
    <row r="50" spans="1:5" x14ac:dyDescent="0.25">
      <c r="A50" t="s">
        <v>116</v>
      </c>
      <c r="B50" s="2"/>
      <c r="C50" s="2"/>
      <c r="D50" s="2">
        <v>15126</v>
      </c>
      <c r="E50" s="2">
        <f>IFERROR(VLOOKUP(A50,'2025 coop match data'!$A$4:$D$94,2,FALSE),"")</f>
        <v>0</v>
      </c>
    </row>
    <row r="51" spans="1:5" x14ac:dyDescent="0.25">
      <c r="A51" t="s">
        <v>117</v>
      </c>
      <c r="B51" s="2"/>
      <c r="C51" s="2"/>
      <c r="D51" s="2">
        <v>44507</v>
      </c>
      <c r="E51" s="2">
        <f>IFERROR(VLOOKUP(A51,'2025 coop match data'!$A$4:$D$94,2,FALSE),"")</f>
        <v>8022</v>
      </c>
    </row>
    <row r="52" spans="1:5" x14ac:dyDescent="0.25">
      <c r="A52" t="s">
        <v>118</v>
      </c>
      <c r="B52" s="2"/>
      <c r="C52" s="2"/>
      <c r="E52" s="2">
        <f>30265+7452+30000</f>
        <v>67717</v>
      </c>
    </row>
    <row r="53" spans="1:5" x14ac:dyDescent="0.25">
      <c r="A53" t="s">
        <v>119</v>
      </c>
      <c r="B53" s="2"/>
      <c r="C53" s="2"/>
      <c r="E53" s="2">
        <v>0</v>
      </c>
    </row>
    <row r="54" spans="1:5" x14ac:dyDescent="0.25">
      <c r="A54" t="s">
        <v>120</v>
      </c>
      <c r="B54" s="2"/>
      <c r="C54" s="2"/>
      <c r="E54" s="2">
        <f>IFERROR(VLOOKUP(A54,'2025 coop match data'!$A$4:$D$94,2,FALSE),"")</f>
        <v>0</v>
      </c>
    </row>
    <row r="55" spans="1:5" x14ac:dyDescent="0.25">
      <c r="A55" t="s">
        <v>121</v>
      </c>
      <c r="B55" s="2"/>
      <c r="C55" s="2"/>
      <c r="E55" s="2">
        <f>IFERROR(VLOOKUP(A55,'2025 coop match data'!$A$4:$D$94,2,FALSE),"")</f>
        <v>0</v>
      </c>
    </row>
    <row r="56" spans="1:5" x14ac:dyDescent="0.25">
      <c r="A56" t="s">
        <v>122</v>
      </c>
      <c r="B56" s="2"/>
      <c r="C56" s="2"/>
      <c r="E56" s="2">
        <v>0</v>
      </c>
    </row>
    <row r="57" spans="1:5" x14ac:dyDescent="0.25">
      <c r="A57" t="s">
        <v>123</v>
      </c>
      <c r="B57" s="2"/>
      <c r="C57" s="2"/>
      <c r="E57" s="2">
        <v>0</v>
      </c>
    </row>
    <row r="58" spans="1:5" x14ac:dyDescent="0.25">
      <c r="A58" t="s">
        <v>124</v>
      </c>
      <c r="B58" s="2"/>
      <c r="C58" s="2"/>
      <c r="E58" s="2">
        <f>125078+60000</f>
        <v>185078</v>
      </c>
    </row>
    <row r="59" spans="1:5" x14ac:dyDescent="0.25">
      <c r="A59" t="s">
        <v>125</v>
      </c>
      <c r="B59" s="2"/>
      <c r="C59" s="2"/>
      <c r="D59" s="2">
        <f>7142+2500</f>
        <v>9642</v>
      </c>
      <c r="E59" s="2">
        <f>IFERROR(VLOOKUP(A59,'2025 coop match data'!$A$4:$D$94,2,FALSE),"")</f>
        <v>3000</v>
      </c>
    </row>
    <row r="60" spans="1:5" x14ac:dyDescent="0.25">
      <c r="A60" t="s">
        <v>126</v>
      </c>
      <c r="B60" s="2"/>
      <c r="C60" s="2"/>
      <c r="D60" s="2">
        <v>48717</v>
      </c>
      <c r="E60" s="2">
        <v>0</v>
      </c>
    </row>
    <row r="61" spans="1:5" x14ac:dyDescent="0.25">
      <c r="A61" t="s">
        <v>127</v>
      </c>
      <c r="B61" s="2"/>
      <c r="C61" s="2"/>
      <c r="D61" s="2">
        <f>70200+2500</f>
        <v>72700</v>
      </c>
      <c r="E61" s="2">
        <f>80231+70200+5000</f>
        <v>155431</v>
      </c>
    </row>
    <row r="62" spans="1:5" x14ac:dyDescent="0.25">
      <c r="A62" t="s">
        <v>128</v>
      </c>
      <c r="B62" s="2"/>
      <c r="C62" s="2"/>
      <c r="E62" s="2">
        <f>IFERROR(VLOOKUP(A62,'2025 coop match data'!$A$4:$D$94,2,FALSE),"")</f>
        <v>0</v>
      </c>
    </row>
    <row r="63" spans="1:5" x14ac:dyDescent="0.25">
      <c r="A63" t="s">
        <v>129</v>
      </c>
      <c r="B63" s="2"/>
      <c r="C63" s="2"/>
      <c r="E63" s="2">
        <v>0</v>
      </c>
    </row>
    <row r="64" spans="1:5" x14ac:dyDescent="0.25">
      <c r="A64" t="s">
        <v>130</v>
      </c>
      <c r="B64" s="2"/>
      <c r="C64" s="2"/>
      <c r="E64" s="2">
        <v>0</v>
      </c>
    </row>
    <row r="65" spans="1:5" x14ac:dyDescent="0.25">
      <c r="A65" t="s">
        <v>131</v>
      </c>
      <c r="B65" s="2"/>
      <c r="C65" s="2"/>
      <c r="E65" s="2">
        <v>0</v>
      </c>
    </row>
    <row r="66" spans="1:5" x14ac:dyDescent="0.25">
      <c r="A66" t="s">
        <v>132</v>
      </c>
      <c r="B66" s="2"/>
      <c r="C66" s="2"/>
      <c r="E66" s="2">
        <f>IFERROR(VLOOKUP(A66,'2025 coop match data'!$A$4:$D$94,2,FALSE),"")</f>
        <v>71305</v>
      </c>
    </row>
    <row r="67" spans="1:5" x14ac:dyDescent="0.25">
      <c r="A67" t="s">
        <v>133</v>
      </c>
      <c r="B67" s="2"/>
      <c r="C67" s="2"/>
      <c r="E67" s="2">
        <v>0</v>
      </c>
    </row>
    <row r="68" spans="1:5" x14ac:dyDescent="0.25">
      <c r="A68" t="s">
        <v>134</v>
      </c>
      <c r="B68" s="2"/>
      <c r="C68" s="2"/>
      <c r="D68" s="2">
        <v>22230</v>
      </c>
      <c r="E68" s="2">
        <f>IFERROR(VLOOKUP(A68,'2025 coop match data'!$A$4:$D$94,2,FALSE),"")</f>
        <v>19424</v>
      </c>
    </row>
    <row r="69" spans="1:5" x14ac:dyDescent="0.25">
      <c r="A69" t="s">
        <v>135</v>
      </c>
      <c r="B69" s="2"/>
      <c r="C69" s="2"/>
      <c r="E69" s="2">
        <v>0</v>
      </c>
    </row>
    <row r="70" spans="1:5" x14ac:dyDescent="0.25">
      <c r="A70" t="s">
        <v>136</v>
      </c>
      <c r="B70" s="2"/>
      <c r="C70" s="2"/>
      <c r="E70" s="2">
        <v>0</v>
      </c>
    </row>
    <row r="71" spans="1:5" x14ac:dyDescent="0.25">
      <c r="A71" t="s">
        <v>137</v>
      </c>
      <c r="B71" s="2"/>
      <c r="C71" s="2"/>
      <c r="D71" s="2">
        <v>13542</v>
      </c>
      <c r="E71" s="2">
        <f>IFERROR(VLOOKUP(A71,'2025 coop match data'!$A$4:$D$94,2,FALSE),"")</f>
        <v>19899</v>
      </c>
    </row>
    <row r="72" spans="1:5" x14ac:dyDescent="0.25">
      <c r="A72" t="s">
        <v>138</v>
      </c>
      <c r="B72" s="2"/>
      <c r="C72" s="2"/>
      <c r="D72" s="2">
        <v>8663</v>
      </c>
      <c r="E72" s="2">
        <f>IFERROR(VLOOKUP(A72,'2025 coop match data'!$A$4:$D$94,2,FALSE),"")</f>
        <v>3997</v>
      </c>
    </row>
    <row r="73" spans="1:5" x14ac:dyDescent="0.25">
      <c r="A73" t="s">
        <v>139</v>
      </c>
      <c r="B73" s="2"/>
      <c r="C73" s="2"/>
      <c r="E73" s="2">
        <f>IFERROR(VLOOKUP(A73,'2025 coop match data'!$A$4:$D$94,2,FALSE),"")</f>
        <v>0</v>
      </c>
    </row>
    <row r="74" spans="1:5" x14ac:dyDescent="0.25">
      <c r="A74" t="s">
        <v>140</v>
      </c>
      <c r="B74" s="2"/>
      <c r="C74" s="2"/>
      <c r="D74" s="2">
        <v>48860</v>
      </c>
      <c r="E74" s="2">
        <v>12259</v>
      </c>
    </row>
    <row r="75" spans="1:5" x14ac:dyDescent="0.25">
      <c r="A75" t="s">
        <v>141</v>
      </c>
      <c r="B75" s="2"/>
      <c r="C75" s="2"/>
      <c r="E75" s="2">
        <v>0</v>
      </c>
    </row>
    <row r="76" spans="1:5" x14ac:dyDescent="0.25">
      <c r="A76" t="s">
        <v>142</v>
      </c>
      <c r="B76" s="2"/>
      <c r="C76" s="2"/>
      <c r="E76" s="2">
        <f>IFERROR(VLOOKUP(A76,'2025 coop match data'!$A$4:$D$94,2,FALSE),"")</f>
        <v>0</v>
      </c>
    </row>
    <row r="77" spans="1:5" x14ac:dyDescent="0.25">
      <c r="A77" t="s">
        <v>143</v>
      </c>
      <c r="B77" s="2"/>
      <c r="C77" s="2"/>
      <c r="E77" s="2">
        <f>IFERROR(VLOOKUP(A77,'2025 coop match data'!$A$4:$D$94,2,FALSE),"")</f>
        <v>0</v>
      </c>
    </row>
    <row r="78" spans="1:5" x14ac:dyDescent="0.25">
      <c r="A78" t="s">
        <v>144</v>
      </c>
      <c r="B78" s="2"/>
      <c r="C78" s="2"/>
      <c r="D78" s="2">
        <v>42069</v>
      </c>
      <c r="E78" s="2">
        <v>6997</v>
      </c>
    </row>
    <row r="79" spans="1:5" x14ac:dyDescent="0.25">
      <c r="A79" t="s">
        <v>145</v>
      </c>
      <c r="B79" s="2"/>
      <c r="C79" s="2"/>
      <c r="E79" s="2">
        <f>IFERROR(VLOOKUP(A79,'2025 coop match data'!$A$4:$D$94,2,FALSE),"")</f>
        <v>0</v>
      </c>
    </row>
    <row r="80" spans="1:5" x14ac:dyDescent="0.25">
      <c r="A80" t="s">
        <v>146</v>
      </c>
      <c r="B80" s="2"/>
      <c r="C80" s="2"/>
      <c r="E80" s="2">
        <f>IFERROR(VLOOKUP(A80,'2025 coop match data'!$A$4:$D$94,2,FALSE),"")</f>
        <v>0</v>
      </c>
    </row>
    <row r="81" spans="1:5" x14ac:dyDescent="0.25">
      <c r="A81" t="s">
        <v>147</v>
      </c>
      <c r="B81" s="2"/>
      <c r="C81" s="2"/>
      <c r="E81" s="2">
        <v>0</v>
      </c>
    </row>
    <row r="82" spans="1:5" x14ac:dyDescent="0.25">
      <c r="A82" t="s">
        <v>148</v>
      </c>
      <c r="B82" s="2"/>
      <c r="C82" s="2"/>
      <c r="E82" s="2">
        <v>0</v>
      </c>
    </row>
    <row r="83" spans="1:5" x14ac:dyDescent="0.25">
      <c r="A83" t="s">
        <v>149</v>
      </c>
      <c r="B83" s="2"/>
      <c r="C83" s="2"/>
      <c r="E83" s="2">
        <v>0</v>
      </c>
    </row>
    <row r="84" spans="1:5" x14ac:dyDescent="0.25">
      <c r="A84" t="s">
        <v>150</v>
      </c>
      <c r="B84" s="2"/>
      <c r="C84" s="2"/>
      <c r="D84" s="2">
        <v>131126</v>
      </c>
      <c r="E84" s="2">
        <f>IFERROR(VLOOKUP(A84,'2025 coop match data'!$A$4:$D$94,2,FALSE),"")</f>
        <v>23633</v>
      </c>
    </row>
    <row r="85" spans="1:5" x14ac:dyDescent="0.25">
      <c r="A85" t="s">
        <v>151</v>
      </c>
      <c r="B85" s="2"/>
      <c r="C85" s="2"/>
      <c r="E85" s="2">
        <f>IFERROR(VLOOKUP(A85,'2025 coop match data'!$A$4:$D$94,2,FALSE),"")</f>
        <v>0</v>
      </c>
    </row>
    <row r="86" spans="1:5" x14ac:dyDescent="0.25">
      <c r="A86" t="s">
        <v>152</v>
      </c>
      <c r="B86" s="2"/>
      <c r="C86" s="2"/>
      <c r="E86" s="2">
        <f>IFERROR(VLOOKUP(A86,'2025 coop match data'!$A$4:$D$94,2,FALSE),"")</f>
        <v>0</v>
      </c>
    </row>
    <row r="87" spans="1:5" x14ac:dyDescent="0.25">
      <c r="A87" t="s">
        <v>153</v>
      </c>
      <c r="B87" s="2"/>
      <c r="C87" s="2"/>
      <c r="E87" s="2">
        <f>156600+80000</f>
        <v>236600</v>
      </c>
    </row>
    <row r="88" spans="1:5" x14ac:dyDescent="0.25">
      <c r="A88" t="s">
        <v>154</v>
      </c>
      <c r="B88" s="2"/>
      <c r="C88" s="2"/>
      <c r="D88" s="2">
        <v>200520</v>
      </c>
      <c r="E88" s="2">
        <f>IFERROR(VLOOKUP(A88,'2025 coop match data'!$A$4:$D$94,2,FALSE),"")</f>
        <v>0</v>
      </c>
    </row>
    <row r="89" spans="1:5" x14ac:dyDescent="0.25">
      <c r="A89" t="s">
        <v>155</v>
      </c>
      <c r="B89" s="2"/>
      <c r="C89" s="2"/>
      <c r="E89" s="2">
        <f>IFERROR(VLOOKUP(A89,'2025 coop match data'!$A$4:$D$94,2,FALSE),"")</f>
        <v>9239</v>
      </c>
    </row>
    <row r="90" spans="1:5" x14ac:dyDescent="0.25">
      <c r="A90" t="s">
        <v>156</v>
      </c>
      <c r="B90" s="2"/>
      <c r="C90" s="2"/>
      <c r="E90" s="2">
        <f>IFERROR(VLOOKUP(A90,'2025 coop match data'!$A$4:$D$94,2,FALSE),"")</f>
        <v>0</v>
      </c>
    </row>
    <row r="91" spans="1:5" x14ac:dyDescent="0.25">
      <c r="A91" t="s">
        <v>157</v>
      </c>
      <c r="B91" s="2"/>
      <c r="C91" s="2"/>
      <c r="D91" s="2">
        <v>2679</v>
      </c>
      <c r="E91" s="2">
        <f>IFERROR(VLOOKUP(A91,'2025 coop match data'!$A$4:$D$94,2,FALSE),"")</f>
        <v>3944</v>
      </c>
    </row>
    <row r="92" spans="1:5" x14ac:dyDescent="0.25">
      <c r="A92" t="s">
        <v>158</v>
      </c>
      <c r="B92" s="2"/>
      <c r="C92" s="2"/>
      <c r="E92" s="2">
        <v>0</v>
      </c>
    </row>
    <row r="93" spans="1:5" x14ac:dyDescent="0.25">
      <c r="A93" t="s">
        <v>159</v>
      </c>
      <c r="B93" s="2"/>
      <c r="C93" s="2"/>
      <c r="E93" s="2">
        <v>45000</v>
      </c>
    </row>
    <row r="94" spans="1:5" x14ac:dyDescent="0.25">
      <c r="A94" t="s">
        <v>160</v>
      </c>
      <c r="B94" s="2"/>
      <c r="C94" s="2"/>
      <c r="E94" s="2">
        <v>44121</v>
      </c>
    </row>
    <row r="95" spans="1:5" x14ac:dyDescent="0.25">
      <c r="A95" t="s">
        <v>161</v>
      </c>
      <c r="B95" s="2"/>
      <c r="C95" s="2"/>
      <c r="D95" s="2">
        <v>5000</v>
      </c>
      <c r="E95" s="2">
        <f>IFERROR(VLOOKUP(A95,'2025 coop match data'!$A$4:$D$94,2,FALSE),"")</f>
        <v>0</v>
      </c>
    </row>
    <row r="96" spans="1:5" x14ac:dyDescent="0.25">
      <c r="A96" t="s">
        <v>162</v>
      </c>
      <c r="B96" s="2"/>
      <c r="C96" s="2"/>
      <c r="D96" s="2">
        <v>28582</v>
      </c>
      <c r="E96" s="2">
        <f>IFERROR(VLOOKUP(A96,'2025 coop match data'!$A$4:$D$94,2,FALSE),"")</f>
        <v>22149</v>
      </c>
    </row>
    <row r="97" spans="1:5" x14ac:dyDescent="0.25">
      <c r="A97" t="s">
        <v>163</v>
      </c>
      <c r="B97" s="2"/>
      <c r="C97" s="2"/>
      <c r="D97" s="2">
        <v>31687</v>
      </c>
      <c r="E97" s="2">
        <v>70000</v>
      </c>
    </row>
    <row r="98" spans="1:5" x14ac:dyDescent="0.25">
      <c r="A98" t="s">
        <v>164</v>
      </c>
      <c r="B98" s="2"/>
      <c r="C98" s="2"/>
      <c r="E98" s="2">
        <v>0</v>
      </c>
    </row>
    <row r="99" spans="1:5" x14ac:dyDescent="0.25">
      <c r="A99" t="s">
        <v>165</v>
      </c>
      <c r="B99" s="2"/>
      <c r="C99" s="2"/>
      <c r="E99" s="2">
        <f>IFERROR(VLOOKUP(A99,'2025 coop match data'!$A$4:$D$94,2,FALSE),"")</f>
        <v>0</v>
      </c>
    </row>
    <row r="100" spans="1:5" x14ac:dyDescent="0.25">
      <c r="A100" t="s">
        <v>166</v>
      </c>
      <c r="B100" s="2"/>
      <c r="C100" s="2"/>
      <c r="D100" s="2">
        <v>28510</v>
      </c>
      <c r="E100" s="2">
        <f>IFERROR(VLOOKUP(A100,'2025 coop match data'!$A$4:$D$94,2,FALSE),"")</f>
        <v>5139</v>
      </c>
    </row>
    <row r="101" spans="1:5" x14ac:dyDescent="0.25">
      <c r="A101" t="s">
        <v>167</v>
      </c>
      <c r="B101" s="2"/>
      <c r="C101" s="2"/>
      <c r="E101" s="2">
        <v>0</v>
      </c>
    </row>
    <row r="102" spans="1:5" x14ac:dyDescent="0.25">
      <c r="A102" t="s">
        <v>168</v>
      </c>
      <c r="B102" s="2"/>
      <c r="C102" s="2"/>
      <c r="E102" s="2">
        <f>IFERROR(VLOOKUP(A102,'2025 coop match data'!$A$4:$D$94,2,FALSE),"")</f>
        <v>0</v>
      </c>
    </row>
    <row r="103" spans="1:5" x14ac:dyDescent="0.25">
      <c r="A103" t="s">
        <v>169</v>
      </c>
      <c r="B103" s="2"/>
      <c r="C103" s="2"/>
      <c r="E103" s="2">
        <f>IFERROR(VLOOKUP(A103,'2025 coop match data'!$A$4:$D$94,2,FALSE),"")</f>
        <v>0</v>
      </c>
    </row>
    <row r="104" spans="1:5" x14ac:dyDescent="0.25">
      <c r="A104" t="s">
        <v>170</v>
      </c>
      <c r="B104" s="2"/>
      <c r="C104" s="2"/>
      <c r="D104" s="2">
        <v>115456</v>
      </c>
      <c r="E104" s="2">
        <f>IFERROR(VLOOKUP(A104,'2025 coop match data'!$A$4:$D$94,2,FALSE),"")</f>
        <v>20809</v>
      </c>
    </row>
    <row r="105" spans="1:5" x14ac:dyDescent="0.25">
      <c r="A105" t="s">
        <v>171</v>
      </c>
      <c r="B105" s="2"/>
      <c r="C105" s="2"/>
      <c r="D105" s="2">
        <v>26878</v>
      </c>
      <c r="E105" s="2">
        <f>IFERROR(VLOOKUP(A105,'2025 coop match data'!$A$4:$D$94,2,FALSE),"")</f>
        <v>4844</v>
      </c>
    </row>
    <row r="106" spans="1:5" x14ac:dyDescent="0.25">
      <c r="A106" t="s">
        <v>172</v>
      </c>
      <c r="B106" s="2"/>
      <c r="C106" s="2"/>
      <c r="E106" s="2">
        <f>IFERROR(VLOOKUP(A106,'2025 coop match data'!$A$4:$D$94,2,FALSE),"")</f>
        <v>0</v>
      </c>
    </row>
    <row r="107" spans="1:5" x14ac:dyDescent="0.25">
      <c r="A107" t="s">
        <v>174</v>
      </c>
      <c r="B107" s="2"/>
      <c r="C107" s="2"/>
      <c r="D107" s="2">
        <v>9642</v>
      </c>
      <c r="E107" s="2">
        <f>147617+85000+250000+8000</f>
        <v>490617</v>
      </c>
    </row>
    <row r="108" spans="1:5" x14ac:dyDescent="0.25">
      <c r="A108" t="s">
        <v>173</v>
      </c>
      <c r="B108" s="2"/>
      <c r="C108" s="2"/>
      <c r="E108" s="2">
        <f>40000+146275</f>
        <v>186275</v>
      </c>
    </row>
    <row r="109" spans="1:5" x14ac:dyDescent="0.25">
      <c r="A109" t="s">
        <v>175</v>
      </c>
      <c r="B109" s="2"/>
      <c r="C109" s="2"/>
      <c r="D109" s="2">
        <v>202294</v>
      </c>
      <c r="E109" s="2">
        <f>IFERROR(VLOOKUP(A109,'2025 coop match data'!$A$4:$D$94,2,FALSE),"")</f>
        <v>0</v>
      </c>
    </row>
    <row r="110" spans="1:5" x14ac:dyDescent="0.25">
      <c r="A110" t="s">
        <v>176</v>
      </c>
      <c r="B110" s="2"/>
      <c r="C110" s="2"/>
      <c r="E110" s="2">
        <f>134533+40000</f>
        <v>174533</v>
      </c>
    </row>
    <row r="111" spans="1:5" x14ac:dyDescent="0.25">
      <c r="A111" t="s">
        <v>177</v>
      </c>
      <c r="B111" s="2"/>
      <c r="C111" s="2"/>
      <c r="E111" s="2">
        <f>IFERROR(VLOOKUP(A111,'2025 coop match data'!$A$4:$D$94,2,FALSE),"")</f>
        <v>31989</v>
      </c>
    </row>
    <row r="112" spans="1:5" x14ac:dyDescent="0.25">
      <c r="A112" t="s">
        <v>178</v>
      </c>
      <c r="B112" s="2"/>
      <c r="C112" s="2"/>
      <c r="E112" s="2">
        <f>71538+12821</f>
        <v>84359</v>
      </c>
    </row>
    <row r="113" spans="1:5" x14ac:dyDescent="0.25">
      <c r="A113" t="s">
        <v>179</v>
      </c>
      <c r="B113" s="2"/>
      <c r="C113" s="2"/>
      <c r="E113" s="2">
        <f>IFERROR(VLOOKUP(A113,'2025 coop match data'!$A$4:$D$94,2,FALSE),"")</f>
        <v>0</v>
      </c>
    </row>
    <row r="114" spans="1:5" x14ac:dyDescent="0.25">
      <c r="A114" t="s">
        <v>180</v>
      </c>
      <c r="B114" s="2"/>
      <c r="C114" s="2"/>
      <c r="E114" s="2">
        <f>IFERROR(VLOOKUP(A114,'2025 coop match data'!$A$4:$D$94,2,FALSE),"")</f>
        <v>0</v>
      </c>
    </row>
    <row r="115" spans="1:5" x14ac:dyDescent="0.25">
      <c r="A115" t="s">
        <v>181</v>
      </c>
      <c r="B115" s="2"/>
      <c r="C115" s="2"/>
      <c r="D115" s="2">
        <v>10254</v>
      </c>
      <c r="E115" s="2">
        <f>IFERROR(VLOOKUP(A115,'2025 coop match data'!$A$4:$D$94,2,FALSE),"")</f>
        <v>15054</v>
      </c>
    </row>
    <row r="116" spans="1:5" x14ac:dyDescent="0.25">
      <c r="A116" t="s">
        <v>182</v>
      </c>
      <c r="B116" s="2"/>
      <c r="C116" s="2"/>
      <c r="E116" s="2">
        <v>0</v>
      </c>
    </row>
    <row r="117" spans="1:5" x14ac:dyDescent="0.25">
      <c r="A117" t="s">
        <v>183</v>
      </c>
      <c r="B117" s="2"/>
      <c r="C117" s="2"/>
      <c r="D117" s="2">
        <v>37525</v>
      </c>
      <c r="E117" s="2">
        <v>43060</v>
      </c>
    </row>
    <row r="118" spans="1:5" x14ac:dyDescent="0.25">
      <c r="A118" t="s">
        <v>184</v>
      </c>
      <c r="B118" s="2"/>
      <c r="C118" s="2"/>
      <c r="E118" s="2">
        <v>0</v>
      </c>
    </row>
    <row r="119" spans="1:5" x14ac:dyDescent="0.25">
      <c r="A119" t="s">
        <v>185</v>
      </c>
      <c r="B119" s="2"/>
      <c r="C119" s="2"/>
      <c r="D119" s="2">
        <v>91390</v>
      </c>
      <c r="E119" s="2">
        <f>IFERROR(VLOOKUP(A119,'2025 coop match data'!$A$4:$D$94,2,FALSE),"")</f>
        <v>43168</v>
      </c>
    </row>
    <row r="120" spans="1:5" x14ac:dyDescent="0.25">
      <c r="A120" t="s">
        <v>186</v>
      </c>
      <c r="B120" s="2"/>
      <c r="C120" s="2"/>
      <c r="D120" s="2">
        <f>124755+32270</f>
        <v>157025</v>
      </c>
      <c r="E120" s="2">
        <f>IFERROR(VLOOKUP(A120,'2025 coop match data'!$A$4:$D$94,2,FALSE),"")</f>
        <v>11100</v>
      </c>
    </row>
    <row r="121" spans="1:5" x14ac:dyDescent="0.25">
      <c r="A121" t="s">
        <v>187</v>
      </c>
      <c r="B121" s="2"/>
      <c r="C121" s="2"/>
      <c r="E121" s="2">
        <v>0</v>
      </c>
    </row>
    <row r="122" spans="1:5" x14ac:dyDescent="0.25">
      <c r="A122" t="s">
        <v>188</v>
      </c>
      <c r="B122" s="2"/>
      <c r="C122" s="2"/>
      <c r="E122" s="2">
        <f>IFERROR(VLOOKUP(A122,'2025 coop match data'!$A$4:$D$94,2,FALSE),"")</f>
        <v>0</v>
      </c>
    </row>
    <row r="123" spans="1:5" x14ac:dyDescent="0.25">
      <c r="A123" t="s">
        <v>189</v>
      </c>
      <c r="B123" s="2"/>
      <c r="C123" s="2"/>
      <c r="E123" s="2">
        <f>IFERROR(VLOOKUP(A123,'2025 coop match data'!$A$4:$D$94,2,FALSE),"")</f>
        <v>0</v>
      </c>
    </row>
    <row r="124" spans="1:5" x14ac:dyDescent="0.25">
      <c r="A124" t="s">
        <v>190</v>
      </c>
      <c r="B124" s="2"/>
      <c r="C124" s="2"/>
      <c r="E124" s="2">
        <v>0</v>
      </c>
    </row>
    <row r="125" spans="1:5" x14ac:dyDescent="0.25">
      <c r="A125" t="s">
        <v>12</v>
      </c>
      <c r="B125" s="2"/>
      <c r="C125" s="2"/>
      <c r="E125" s="2">
        <f>IFERROR(VLOOKUP(A125,'2025 coop match data'!$A$4:$D$94,2,FALSE),"")</f>
        <v>75000</v>
      </c>
    </row>
    <row r="126" spans="1:5" x14ac:dyDescent="0.25">
      <c r="A126" t="s">
        <v>191</v>
      </c>
      <c r="B126" s="2"/>
      <c r="C126" s="2"/>
      <c r="E126" s="2">
        <f>IFERROR(VLOOKUP(A126,'2025 coop match data'!$A$4:$D$94,2,FALSE),"")</f>
        <v>0</v>
      </c>
    </row>
    <row r="127" spans="1:5" x14ac:dyDescent="0.25">
      <c r="A127" t="s">
        <v>192</v>
      </c>
      <c r="B127" s="2"/>
      <c r="C127" s="2"/>
      <c r="E127" s="2">
        <v>0</v>
      </c>
    </row>
    <row r="128" spans="1:5" x14ac:dyDescent="0.25">
      <c r="A128" t="s">
        <v>193</v>
      </c>
      <c r="B128" s="2"/>
      <c r="C128" s="2">
        <v>92776</v>
      </c>
      <c r="E128" s="2">
        <f>IFERROR(VLOOKUP(A128,'2025 coop match data'!$A$4:$D$94,2,FALSE),"")</f>
        <v>0</v>
      </c>
    </row>
    <row r="129" spans="1:5" x14ac:dyDescent="0.25">
      <c r="A129" t="s">
        <v>194</v>
      </c>
      <c r="B129" s="2"/>
      <c r="C129" s="2"/>
      <c r="E129" s="2">
        <v>0</v>
      </c>
    </row>
    <row r="130" spans="1:5" x14ac:dyDescent="0.25">
      <c r="A130" t="s">
        <v>195</v>
      </c>
      <c r="B130" s="2"/>
      <c r="C130" s="2"/>
      <c r="E130" s="2">
        <f>IFERROR(VLOOKUP(A130,'2025 coop match data'!$A$4:$D$94,2,FALSE),"")</f>
        <v>0</v>
      </c>
    </row>
    <row r="131" spans="1:5" x14ac:dyDescent="0.25">
      <c r="A131" t="s">
        <v>196</v>
      </c>
      <c r="B131" s="2"/>
      <c r="C131" s="2"/>
      <c r="E131" s="2">
        <f>IFERROR(VLOOKUP(A131,'2025 coop match data'!$A$4:$D$94,2,FALSE),"")</f>
        <v>10020</v>
      </c>
    </row>
    <row r="132" spans="1:5" x14ac:dyDescent="0.25">
      <c r="A132" t="s">
        <v>197</v>
      </c>
      <c r="B132" s="2"/>
      <c r="C132" s="2"/>
      <c r="E132" s="2">
        <v>77686</v>
      </c>
    </row>
    <row r="133" spans="1:5" x14ac:dyDescent="0.25">
      <c r="A133" t="s">
        <v>198</v>
      </c>
      <c r="B133" s="2"/>
      <c r="C133" s="2"/>
      <c r="D133" s="2">
        <v>42770</v>
      </c>
      <c r="E133" s="2">
        <f>IFERROR(VLOOKUP(A133,'2025 coop match data'!$A$4:$D$94,2,FALSE),"")</f>
        <v>62814</v>
      </c>
    </row>
    <row r="134" spans="1:5" x14ac:dyDescent="0.25">
      <c r="A134" t="s">
        <v>199</v>
      </c>
      <c r="B134" s="2"/>
      <c r="C134" s="2"/>
      <c r="D134" s="2">
        <v>18458</v>
      </c>
      <c r="E134" s="2">
        <v>44300</v>
      </c>
    </row>
    <row r="135" spans="1:5" x14ac:dyDescent="0.25">
      <c r="A135" t="s">
        <v>200</v>
      </c>
      <c r="B135" s="2"/>
      <c r="C135" s="2"/>
      <c r="E135" s="2">
        <f>IFERROR(VLOOKUP(A135,'2025 coop match data'!$A$4:$D$94,2,FALSE),"")</f>
        <v>65363</v>
      </c>
    </row>
  </sheetData>
  <sortState xmlns:xlrd2="http://schemas.microsoft.com/office/spreadsheetml/2017/richdata2" ref="A3:D136">
    <sortCondition ref="A3:A136"/>
  </sortState>
  <phoneticPr fontId="12" type="noConversion"/>
  <conditionalFormatting sqref="A1:B2 C2:S2 E1:F1 I1:J1 M1:N1 Q1:R1 A136:B1048576 A3:A135">
    <cfRule type="duplicateValues" dxfId="7" priority="2"/>
  </conditionalFormatting>
  <conditionalFormatting sqref="B3:B135">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78D6-EB07-4DC7-AA07-09A11678636D}">
  <dimension ref="A1:S135"/>
  <sheetViews>
    <sheetView workbookViewId="0">
      <selection activeCell="K30" sqref="K30"/>
    </sheetView>
  </sheetViews>
  <sheetFormatPr defaultRowHeight="15" x14ac:dyDescent="0.25"/>
  <cols>
    <col min="1" max="1" width="23.85546875" customWidth="1"/>
    <col min="2" max="3" width="12.7109375" customWidth="1"/>
    <col min="4" max="4" width="12.7109375" style="2" customWidth="1"/>
    <col min="5" max="19" width="12.7109375" customWidth="1"/>
  </cols>
  <sheetData>
    <row r="1" spans="1:19" x14ac:dyDescent="0.25">
      <c r="A1">
        <v>1</v>
      </c>
      <c r="B1">
        <v>2</v>
      </c>
      <c r="C1">
        <v>3</v>
      </c>
      <c r="D1" s="2">
        <v>4</v>
      </c>
      <c r="E1">
        <v>5</v>
      </c>
      <c r="F1">
        <v>6</v>
      </c>
      <c r="G1">
        <v>7</v>
      </c>
      <c r="H1" s="2">
        <v>8</v>
      </c>
      <c r="I1">
        <v>9</v>
      </c>
      <c r="J1">
        <v>10</v>
      </c>
      <c r="K1">
        <v>11</v>
      </c>
      <c r="L1" s="2">
        <v>12</v>
      </c>
      <c r="M1">
        <v>13</v>
      </c>
      <c r="N1">
        <v>14</v>
      </c>
      <c r="O1">
        <v>15</v>
      </c>
      <c r="P1" s="2">
        <v>16</v>
      </c>
      <c r="Q1">
        <v>17</v>
      </c>
      <c r="R1">
        <v>18</v>
      </c>
      <c r="S1">
        <v>19</v>
      </c>
    </row>
    <row r="2" spans="1:19" s="1" customFormat="1" x14ac:dyDescent="0.25">
      <c r="B2" s="4" t="s">
        <v>55</v>
      </c>
      <c r="C2" s="4" t="s">
        <v>57</v>
      </c>
      <c r="D2" s="4" t="s">
        <v>59</v>
      </c>
      <c r="E2" s="4" t="s">
        <v>61</v>
      </c>
      <c r="F2" s="4" t="s">
        <v>63</v>
      </c>
      <c r="G2" s="4" t="s">
        <v>65</v>
      </c>
      <c r="H2" s="4" t="s">
        <v>66</v>
      </c>
      <c r="I2" s="4" t="s">
        <v>68</v>
      </c>
      <c r="J2" s="4" t="s">
        <v>70</v>
      </c>
      <c r="K2" s="4" t="s">
        <v>72</v>
      </c>
      <c r="L2" s="4" t="s">
        <v>74</v>
      </c>
      <c r="M2" s="4" t="s">
        <v>76</v>
      </c>
      <c r="N2" s="4" t="s">
        <v>78</v>
      </c>
      <c r="O2" s="4" t="s">
        <v>80</v>
      </c>
      <c r="P2" s="4" t="s">
        <v>82</v>
      </c>
      <c r="Q2" s="4" t="s">
        <v>84</v>
      </c>
      <c r="R2" s="4" t="s">
        <v>86</v>
      </c>
      <c r="S2" s="4" t="s">
        <v>88</v>
      </c>
    </row>
    <row r="3" spans="1:19" x14ac:dyDescent="0.25">
      <c r="A3" t="s">
        <v>53</v>
      </c>
      <c r="B3" s="2"/>
      <c r="C3" s="2"/>
      <c r="E3" s="2">
        <f>IFERROR(VLOOKUP(A3,'2025 coop match data'!$A$4:$D$94,3,FALSE),"")</f>
        <v>0</v>
      </c>
      <c r="F3" s="2"/>
    </row>
    <row r="4" spans="1:19" x14ac:dyDescent="0.25">
      <c r="A4" t="s">
        <v>54</v>
      </c>
      <c r="B4" s="2"/>
      <c r="C4" s="2"/>
      <c r="E4" s="2">
        <f>IFERROR(VLOOKUP(A4,'2025 coop match data'!$A$4:$D$94,3,FALSE),"")</f>
        <v>0</v>
      </c>
      <c r="F4" s="2"/>
    </row>
    <row r="5" spans="1:19" x14ac:dyDescent="0.25">
      <c r="A5" t="s">
        <v>56</v>
      </c>
      <c r="B5" s="2"/>
      <c r="C5" s="2"/>
      <c r="E5" s="2">
        <f>IFERROR(VLOOKUP(A5,'2025 coop match data'!$A$4:$D$94,3,FALSE),"")</f>
        <v>0</v>
      </c>
      <c r="F5" s="2"/>
    </row>
    <row r="6" spans="1:19" x14ac:dyDescent="0.25">
      <c r="A6" t="s">
        <v>58</v>
      </c>
      <c r="B6" s="2"/>
      <c r="C6" s="2"/>
      <c r="E6" s="2">
        <f>IFERROR(VLOOKUP(A6,'2025 coop match data'!$A$4:$D$94,3,FALSE),"")</f>
        <v>7248</v>
      </c>
      <c r="F6" s="2"/>
    </row>
    <row r="7" spans="1:19" x14ac:dyDescent="0.25">
      <c r="A7" t="s">
        <v>60</v>
      </c>
      <c r="B7" s="2"/>
      <c r="C7" s="2"/>
      <c r="E7" s="2">
        <v>0</v>
      </c>
      <c r="F7" s="2"/>
    </row>
    <row r="8" spans="1:19" x14ac:dyDescent="0.25">
      <c r="A8" t="s">
        <v>62</v>
      </c>
      <c r="B8" s="2"/>
      <c r="C8" s="2"/>
      <c r="E8" s="2">
        <v>0</v>
      </c>
      <c r="F8" s="2"/>
    </row>
    <row r="9" spans="1:19" x14ac:dyDescent="0.25">
      <c r="A9" t="s">
        <v>64</v>
      </c>
      <c r="B9" s="2"/>
      <c r="C9" s="2"/>
      <c r="E9" s="2">
        <v>0</v>
      </c>
      <c r="F9" s="2"/>
    </row>
    <row r="10" spans="1:19" x14ac:dyDescent="0.25">
      <c r="A10" t="s">
        <v>11</v>
      </c>
      <c r="B10" s="2"/>
      <c r="C10" s="2"/>
      <c r="D10" s="2">
        <f>22933+14555</f>
        <v>37488</v>
      </c>
      <c r="E10" s="2">
        <v>0</v>
      </c>
      <c r="F10" s="2"/>
    </row>
    <row r="11" spans="1:19" x14ac:dyDescent="0.25">
      <c r="A11" t="s">
        <v>67</v>
      </c>
      <c r="B11" s="2"/>
      <c r="C11" s="2"/>
      <c r="E11" s="2">
        <v>0</v>
      </c>
      <c r="F11" s="2"/>
    </row>
    <row r="12" spans="1:19" x14ac:dyDescent="0.25">
      <c r="A12" t="s">
        <v>69</v>
      </c>
      <c r="B12" s="2"/>
      <c r="C12" s="2"/>
      <c r="E12" s="2">
        <v>0</v>
      </c>
      <c r="F12" s="2"/>
    </row>
    <row r="13" spans="1:19" x14ac:dyDescent="0.25">
      <c r="A13" t="s">
        <v>71</v>
      </c>
      <c r="B13" s="2"/>
      <c r="C13" s="2"/>
      <c r="E13" s="2">
        <v>0</v>
      </c>
      <c r="F13" s="2"/>
    </row>
    <row r="14" spans="1:19" x14ac:dyDescent="0.25">
      <c r="A14" t="s">
        <v>73</v>
      </c>
      <c r="B14" s="2"/>
      <c r="C14" s="2"/>
      <c r="E14" s="2">
        <f>IFERROR(VLOOKUP(A14,'2025 coop match data'!$A$4:$D$94,3,FALSE),"")</f>
        <v>0</v>
      </c>
      <c r="F14" s="2"/>
    </row>
    <row r="15" spans="1:19" x14ac:dyDescent="0.25">
      <c r="A15" t="s">
        <v>75</v>
      </c>
      <c r="B15" s="2"/>
      <c r="C15" s="2"/>
      <c r="E15" s="2">
        <v>0</v>
      </c>
      <c r="F15" s="2"/>
    </row>
    <row r="16" spans="1:19" x14ac:dyDescent="0.25">
      <c r="A16" t="s">
        <v>77</v>
      </c>
      <c r="B16" s="2"/>
      <c r="C16" s="2"/>
      <c r="E16" s="2">
        <f>IFERROR(VLOOKUP(A16,'2025 coop match data'!$A$4:$D$94,3,FALSE),"")</f>
        <v>0</v>
      </c>
      <c r="F16" s="2"/>
    </row>
    <row r="17" spans="1:6" x14ac:dyDescent="0.25">
      <c r="A17" t="s">
        <v>79</v>
      </c>
      <c r="B17" s="2"/>
      <c r="C17" s="2"/>
      <c r="E17" s="2">
        <v>0</v>
      </c>
      <c r="F17" s="2"/>
    </row>
    <row r="18" spans="1:6" x14ac:dyDescent="0.25">
      <c r="A18" t="s">
        <v>81</v>
      </c>
      <c r="B18" s="2"/>
      <c r="C18" s="2"/>
      <c r="E18" s="2">
        <v>0</v>
      </c>
      <c r="F18" s="2"/>
    </row>
    <row r="19" spans="1:6" x14ac:dyDescent="0.25">
      <c r="A19" t="s">
        <v>83</v>
      </c>
      <c r="B19" s="2"/>
      <c r="C19" s="2"/>
      <c r="E19" s="2">
        <v>0</v>
      </c>
      <c r="F19" s="2"/>
    </row>
    <row r="20" spans="1:6" x14ac:dyDescent="0.25">
      <c r="A20" t="s">
        <v>85</v>
      </c>
      <c r="B20" s="2"/>
      <c r="C20" s="2"/>
      <c r="D20" s="2">
        <v>1816</v>
      </c>
      <c r="E20" s="2">
        <f>IFERROR(VLOOKUP(A20,'2025 coop match data'!$A$4:$D$94,3,FALSE),"")</f>
        <v>838</v>
      </c>
      <c r="F20" s="2"/>
    </row>
    <row r="21" spans="1:6" x14ac:dyDescent="0.25">
      <c r="A21" t="s">
        <v>87</v>
      </c>
      <c r="B21" s="2"/>
      <c r="C21" s="2"/>
      <c r="E21" s="2">
        <f>IFERROR(VLOOKUP(A21,'2025 coop match data'!$A$4:$D$94,3,FALSE),"")</f>
        <v>0</v>
      </c>
      <c r="F21" s="2"/>
    </row>
    <row r="22" spans="1:6" x14ac:dyDescent="0.25">
      <c r="A22" t="s">
        <v>89</v>
      </c>
      <c r="B22" s="2"/>
      <c r="C22" s="2"/>
      <c r="E22" s="2">
        <f>IFERROR(VLOOKUP(A22,'2025 coop match data'!$A$4:$D$94,3,FALSE),"")</f>
        <v>0</v>
      </c>
      <c r="F22" s="2"/>
    </row>
    <row r="23" spans="1:6" x14ac:dyDescent="0.25">
      <c r="A23" t="s">
        <v>90</v>
      </c>
      <c r="B23" s="2"/>
      <c r="C23" s="2"/>
      <c r="E23" s="2">
        <f>IFERROR(VLOOKUP(A23,'2025 coop match data'!$A$4:$D$94,3,FALSE),"")</f>
        <v>0</v>
      </c>
      <c r="F23" s="2"/>
    </row>
    <row r="24" spans="1:6" x14ac:dyDescent="0.25">
      <c r="A24" t="s">
        <v>91</v>
      </c>
      <c r="B24" s="2"/>
      <c r="C24" s="2"/>
      <c r="E24" s="2">
        <f>IFERROR(VLOOKUP(A24,'2025 coop match data'!$A$4:$D$94,3,FALSE),"")</f>
        <v>0</v>
      </c>
      <c r="F24" s="2"/>
    </row>
    <row r="25" spans="1:6" x14ac:dyDescent="0.25">
      <c r="A25" t="s">
        <v>92</v>
      </c>
      <c r="B25" s="2"/>
      <c r="C25" s="2"/>
      <c r="E25" s="2">
        <v>0</v>
      </c>
      <c r="F25" s="2"/>
    </row>
    <row r="26" spans="1:6" x14ac:dyDescent="0.25">
      <c r="A26" t="s">
        <v>93</v>
      </c>
      <c r="B26" s="2"/>
      <c r="C26" s="2"/>
      <c r="E26" s="2">
        <v>0</v>
      </c>
      <c r="F26" s="2"/>
    </row>
    <row r="27" spans="1:6" x14ac:dyDescent="0.25">
      <c r="A27" t="s">
        <v>94</v>
      </c>
      <c r="B27" s="2"/>
      <c r="C27" s="2"/>
      <c r="E27" s="2">
        <f>IFERROR(VLOOKUP(A27,'2025 coop match data'!$A$4:$D$94,3,FALSE),"")</f>
        <v>0</v>
      </c>
      <c r="F27" s="2"/>
    </row>
    <row r="28" spans="1:6" x14ac:dyDescent="0.25">
      <c r="A28" t="s">
        <v>95</v>
      </c>
      <c r="B28" s="2"/>
      <c r="C28" s="2"/>
      <c r="E28" s="2">
        <f>IFERROR(VLOOKUP(A28,'2025 coop match data'!$A$4:$D$94,3,FALSE),"")</f>
        <v>0</v>
      </c>
      <c r="F28" s="2"/>
    </row>
    <row r="29" spans="1:6" x14ac:dyDescent="0.25">
      <c r="A29" t="s">
        <v>96</v>
      </c>
      <c r="B29" s="2"/>
      <c r="C29" s="2"/>
      <c r="E29" s="2">
        <f>IFERROR(VLOOKUP(A29,'2025 coop match data'!$A$4:$D$94,3,FALSE),"")</f>
        <v>0</v>
      </c>
      <c r="F29" s="2"/>
    </row>
    <row r="30" spans="1:6" x14ac:dyDescent="0.25">
      <c r="A30" t="s">
        <v>97</v>
      </c>
      <c r="B30" s="2"/>
      <c r="C30" s="2"/>
      <c r="E30" s="2">
        <f>IFERROR(VLOOKUP(A30,'2025 coop match data'!$A$4:$D$94,3,FALSE),"")</f>
        <v>0</v>
      </c>
      <c r="F30" s="2"/>
    </row>
    <row r="31" spans="1:6" x14ac:dyDescent="0.25">
      <c r="A31" t="s">
        <v>98</v>
      </c>
      <c r="B31" s="2"/>
      <c r="C31" s="2"/>
      <c r="E31" s="2">
        <f>IFERROR(VLOOKUP(A31,'2025 coop match data'!$A$4:$D$94,3,FALSE),"")</f>
        <v>3403</v>
      </c>
      <c r="F31" s="2"/>
    </row>
    <row r="32" spans="1:6" x14ac:dyDescent="0.25">
      <c r="A32" t="s">
        <v>99</v>
      </c>
      <c r="B32" s="2"/>
      <c r="C32" s="2"/>
      <c r="E32" s="2">
        <v>0</v>
      </c>
      <c r="F32" s="2"/>
    </row>
    <row r="33" spans="1:6" x14ac:dyDescent="0.25">
      <c r="A33" t="s">
        <v>100</v>
      </c>
      <c r="B33" s="2"/>
      <c r="C33" s="2"/>
      <c r="E33" s="2">
        <v>0</v>
      </c>
      <c r="F33" s="2"/>
    </row>
    <row r="34" spans="1:6" x14ac:dyDescent="0.25">
      <c r="A34" t="s">
        <v>101</v>
      </c>
      <c r="B34" s="2"/>
      <c r="C34" s="2"/>
      <c r="E34" s="2">
        <v>0</v>
      </c>
      <c r="F34" s="2"/>
    </row>
    <row r="35" spans="1:6" x14ac:dyDescent="0.25">
      <c r="A35" t="s">
        <v>102</v>
      </c>
      <c r="B35" s="2"/>
      <c r="C35" s="2"/>
      <c r="E35" s="2">
        <v>15519</v>
      </c>
      <c r="F35" s="2"/>
    </row>
    <row r="36" spans="1:6" x14ac:dyDescent="0.25">
      <c r="A36" t="s">
        <v>103</v>
      </c>
      <c r="B36" s="2"/>
      <c r="C36" s="2"/>
      <c r="E36" s="2">
        <f>IFERROR(VLOOKUP(A36,'2025 coop match data'!$A$4:$D$94,3,FALSE),"")</f>
        <v>0</v>
      </c>
      <c r="F36" s="2"/>
    </row>
    <row r="37" spans="1:6" x14ac:dyDescent="0.25">
      <c r="A37" t="s">
        <v>104</v>
      </c>
      <c r="B37" s="2"/>
      <c r="C37" s="2"/>
      <c r="E37" s="2">
        <v>0</v>
      </c>
      <c r="F37" s="2"/>
    </row>
    <row r="38" spans="1:6" x14ac:dyDescent="0.25">
      <c r="A38" t="s">
        <v>105</v>
      </c>
      <c r="B38" s="2"/>
      <c r="C38" s="2"/>
      <c r="E38" s="2">
        <v>0</v>
      </c>
      <c r="F38" s="2"/>
    </row>
    <row r="39" spans="1:6" x14ac:dyDescent="0.25">
      <c r="A39" t="s">
        <v>106</v>
      </c>
      <c r="B39" s="2"/>
      <c r="C39" s="2"/>
      <c r="E39" s="2">
        <v>0</v>
      </c>
      <c r="F39" s="2"/>
    </row>
    <row r="40" spans="1:6" x14ac:dyDescent="0.25">
      <c r="A40" t="s">
        <v>107</v>
      </c>
      <c r="B40" s="2"/>
      <c r="C40" s="2"/>
      <c r="E40" s="2">
        <v>0</v>
      </c>
      <c r="F40" s="2"/>
    </row>
    <row r="41" spans="1:6" x14ac:dyDescent="0.25">
      <c r="A41" t="s">
        <v>36</v>
      </c>
      <c r="B41" s="2"/>
      <c r="C41" s="2"/>
      <c r="D41" s="2">
        <v>201947</v>
      </c>
      <c r="E41" s="2">
        <f>IFERROR(VLOOKUP(A41,'2025 coop match data'!$A$4:$D$94,3,FALSE),"")</f>
        <v>0</v>
      </c>
      <c r="F41" s="2"/>
    </row>
    <row r="42" spans="1:6" x14ac:dyDescent="0.25">
      <c r="A42" t="s">
        <v>108</v>
      </c>
      <c r="B42" s="2"/>
      <c r="C42" s="2"/>
      <c r="E42" s="2">
        <v>0</v>
      </c>
      <c r="F42" s="2"/>
    </row>
    <row r="43" spans="1:6" x14ac:dyDescent="0.25">
      <c r="A43" t="s">
        <v>109</v>
      </c>
      <c r="B43" s="2"/>
      <c r="C43" s="2"/>
      <c r="E43" s="2">
        <f>IFERROR(VLOOKUP(A43,'2025 coop match data'!$A$4:$D$94,3,FALSE),"")</f>
        <v>0</v>
      </c>
      <c r="F43" s="2"/>
    </row>
    <row r="44" spans="1:6" x14ac:dyDescent="0.25">
      <c r="A44" t="s">
        <v>110</v>
      </c>
      <c r="B44" s="2"/>
      <c r="C44" s="2"/>
      <c r="D44" s="2">
        <v>4951</v>
      </c>
      <c r="E44" s="2">
        <f>IFERROR(VLOOKUP(A44,'2025 coop match data'!$A$4:$D$94,3,FALSE),"")</f>
        <v>892</v>
      </c>
      <c r="F44" s="2"/>
    </row>
    <row r="45" spans="1:6" x14ac:dyDescent="0.25">
      <c r="A45" t="s">
        <v>111</v>
      </c>
      <c r="B45" s="2"/>
      <c r="C45" s="2"/>
      <c r="E45" s="2">
        <f>IFERROR(VLOOKUP(A45,'2025 coop match data'!$A$4:$D$94,3,FALSE),"")</f>
        <v>0</v>
      </c>
      <c r="F45" s="2"/>
    </row>
    <row r="46" spans="1:6" x14ac:dyDescent="0.25">
      <c r="A46" t="s">
        <v>112</v>
      </c>
      <c r="B46" s="2"/>
      <c r="C46" s="2"/>
      <c r="E46" s="2">
        <v>0</v>
      </c>
      <c r="F46" s="2"/>
    </row>
    <row r="47" spans="1:6" x14ac:dyDescent="0.25">
      <c r="A47" t="s">
        <v>113</v>
      </c>
      <c r="B47" s="2"/>
      <c r="C47" s="2"/>
      <c r="E47" s="2">
        <v>2301</v>
      </c>
      <c r="F47" s="2"/>
    </row>
    <row r="48" spans="1:6" x14ac:dyDescent="0.25">
      <c r="A48" t="s">
        <v>114</v>
      </c>
      <c r="B48" s="2"/>
      <c r="C48" s="2"/>
      <c r="E48" s="2">
        <f>IFERROR(VLOOKUP(A48,'2025 coop match data'!$A$4:$D$94,3,FALSE),"")</f>
        <v>0</v>
      </c>
      <c r="F48" s="2"/>
    </row>
    <row r="49" spans="1:6" x14ac:dyDescent="0.25">
      <c r="A49" t="s">
        <v>115</v>
      </c>
      <c r="B49" s="2"/>
      <c r="C49" s="2"/>
      <c r="E49" s="2">
        <f>IFERROR(VLOOKUP(A49,'2025 coop match data'!$A$4:$D$94,3,FALSE),"")</f>
        <v>13048</v>
      </c>
      <c r="F49" s="2"/>
    </row>
    <row r="50" spans="1:6" x14ac:dyDescent="0.25">
      <c r="A50" t="s">
        <v>116</v>
      </c>
      <c r="B50" s="2"/>
      <c r="C50" s="2"/>
      <c r="D50" s="2">
        <v>3782</v>
      </c>
      <c r="E50" s="2">
        <f>IFERROR(VLOOKUP(A50,'2025 coop match data'!$A$4:$D$94,3,FALSE),"")</f>
        <v>0</v>
      </c>
      <c r="F50" s="2"/>
    </row>
    <row r="51" spans="1:6" x14ac:dyDescent="0.25">
      <c r="A51" t="s">
        <v>117</v>
      </c>
      <c r="B51" s="2"/>
      <c r="C51" s="2"/>
      <c r="D51" s="2">
        <v>11126</v>
      </c>
      <c r="E51" s="2">
        <f>IFERROR(VLOOKUP(A51,'2025 coop match data'!$A$4:$D$94,3,FALSE),"")</f>
        <v>2005</v>
      </c>
      <c r="F51" s="2"/>
    </row>
    <row r="52" spans="1:6" x14ac:dyDescent="0.25">
      <c r="A52" t="s">
        <v>118</v>
      </c>
      <c r="B52" s="2"/>
      <c r="C52" s="2"/>
      <c r="E52" s="2">
        <v>4429</v>
      </c>
      <c r="F52" s="2"/>
    </row>
    <row r="53" spans="1:6" x14ac:dyDescent="0.25">
      <c r="A53" t="s">
        <v>119</v>
      </c>
      <c r="B53" s="2"/>
      <c r="C53" s="2"/>
      <c r="E53" s="2">
        <v>0</v>
      </c>
      <c r="F53" s="2"/>
    </row>
    <row r="54" spans="1:6" x14ac:dyDescent="0.25">
      <c r="A54" t="s">
        <v>120</v>
      </c>
      <c r="B54" s="2"/>
      <c r="C54" s="2"/>
      <c r="E54" s="2">
        <f>IFERROR(VLOOKUP(A54,'2025 coop match data'!$A$4:$D$94,3,FALSE),"")</f>
        <v>0</v>
      </c>
      <c r="F54" s="2"/>
    </row>
    <row r="55" spans="1:6" x14ac:dyDescent="0.25">
      <c r="A55" t="s">
        <v>121</v>
      </c>
      <c r="B55" s="2"/>
      <c r="C55" s="2"/>
      <c r="E55" s="2">
        <f>IFERROR(VLOOKUP(A55,'2025 coop match data'!$A$4:$D$94,3,FALSE),"")</f>
        <v>0</v>
      </c>
      <c r="F55" s="2"/>
    </row>
    <row r="56" spans="1:6" x14ac:dyDescent="0.25">
      <c r="A56" t="s">
        <v>122</v>
      </c>
      <c r="B56" s="2"/>
      <c r="C56" s="2"/>
      <c r="E56" s="2">
        <v>0</v>
      </c>
      <c r="F56" s="2"/>
    </row>
    <row r="57" spans="1:6" x14ac:dyDescent="0.25">
      <c r="A57" t="s">
        <v>123</v>
      </c>
      <c r="B57" s="2"/>
      <c r="C57" s="2"/>
      <c r="E57" s="2">
        <v>0</v>
      </c>
      <c r="F57" s="2"/>
    </row>
    <row r="58" spans="1:6" x14ac:dyDescent="0.25">
      <c r="A58" t="s">
        <v>124</v>
      </c>
      <c r="B58" s="2"/>
      <c r="C58" s="2"/>
      <c r="E58" s="2">
        <f>31269+9000</f>
        <v>40269</v>
      </c>
      <c r="F58" s="2"/>
    </row>
    <row r="59" spans="1:6" x14ac:dyDescent="0.25">
      <c r="A59" t="s">
        <v>125</v>
      </c>
      <c r="B59" s="2"/>
      <c r="C59" s="2"/>
      <c r="E59" s="2">
        <v>0</v>
      </c>
      <c r="F59" s="2"/>
    </row>
    <row r="60" spans="1:6" x14ac:dyDescent="0.25">
      <c r="A60" t="s">
        <v>126</v>
      </c>
      <c r="B60" s="2"/>
      <c r="C60" s="2"/>
      <c r="D60" s="2">
        <v>10179</v>
      </c>
      <c r="E60" s="2">
        <v>0</v>
      </c>
      <c r="F60" s="2"/>
    </row>
    <row r="61" spans="1:6" x14ac:dyDescent="0.25">
      <c r="A61" t="s">
        <v>127</v>
      </c>
      <c r="B61" s="2"/>
      <c r="C61" s="2"/>
      <c r="E61" s="2">
        <v>17550</v>
      </c>
      <c r="F61" s="2"/>
    </row>
    <row r="62" spans="1:6" x14ac:dyDescent="0.25">
      <c r="A62" t="s">
        <v>128</v>
      </c>
      <c r="B62" s="2"/>
      <c r="C62" s="2"/>
      <c r="E62" s="2">
        <f>IFERROR(VLOOKUP(A62,'2025 coop match data'!$A$4:$D$94,3,FALSE),"")</f>
        <v>0</v>
      </c>
      <c r="F62" s="2"/>
    </row>
    <row r="63" spans="1:6" x14ac:dyDescent="0.25">
      <c r="A63" t="s">
        <v>129</v>
      </c>
      <c r="B63" s="2"/>
      <c r="C63" s="2"/>
      <c r="E63" s="2">
        <v>0</v>
      </c>
      <c r="F63" s="2"/>
    </row>
    <row r="64" spans="1:6" x14ac:dyDescent="0.25">
      <c r="A64" t="s">
        <v>130</v>
      </c>
      <c r="B64" s="2"/>
      <c r="C64" s="2"/>
      <c r="E64" s="2">
        <v>0</v>
      </c>
      <c r="F64" s="2"/>
    </row>
    <row r="65" spans="1:6" x14ac:dyDescent="0.25">
      <c r="A65" t="s">
        <v>131</v>
      </c>
      <c r="B65" s="2"/>
      <c r="C65" s="2"/>
      <c r="E65" s="2">
        <v>0</v>
      </c>
      <c r="F65" s="2"/>
    </row>
    <row r="66" spans="1:6" x14ac:dyDescent="0.25">
      <c r="A66" t="s">
        <v>132</v>
      </c>
      <c r="B66" s="2"/>
      <c r="C66" s="2"/>
      <c r="E66" s="2">
        <f>IFERROR(VLOOKUP(A66,'2025 coop match data'!$A$4:$D$94,3,FALSE),"")</f>
        <v>17826</v>
      </c>
      <c r="F66" s="2"/>
    </row>
    <row r="67" spans="1:6" x14ac:dyDescent="0.25">
      <c r="A67" t="s">
        <v>133</v>
      </c>
      <c r="B67" s="2"/>
      <c r="C67" s="2"/>
      <c r="E67" s="2">
        <v>0</v>
      </c>
      <c r="F67" s="2"/>
    </row>
    <row r="68" spans="1:6" x14ac:dyDescent="0.25">
      <c r="A68" t="s">
        <v>134</v>
      </c>
      <c r="B68" s="2"/>
      <c r="C68" s="2"/>
      <c r="E68" s="2">
        <f>IFERROR(VLOOKUP(A68,'2025 coop match data'!$A$4:$D$94,3,FALSE),"")</f>
        <v>2806</v>
      </c>
      <c r="F68" s="2"/>
    </row>
    <row r="69" spans="1:6" x14ac:dyDescent="0.25">
      <c r="A69" t="s">
        <v>135</v>
      </c>
      <c r="B69" s="2"/>
      <c r="C69" s="2"/>
      <c r="E69" s="2">
        <v>0</v>
      </c>
      <c r="F69" s="2"/>
    </row>
    <row r="70" spans="1:6" x14ac:dyDescent="0.25">
      <c r="A70" t="s">
        <v>136</v>
      </c>
      <c r="B70" s="2"/>
      <c r="C70" s="2"/>
      <c r="E70" s="2">
        <v>0</v>
      </c>
      <c r="F70" s="2"/>
    </row>
    <row r="71" spans="1:6" x14ac:dyDescent="0.25">
      <c r="A71" t="s">
        <v>137</v>
      </c>
      <c r="B71" s="2"/>
      <c r="C71" s="2"/>
      <c r="E71" s="2">
        <f>IFERROR(VLOOKUP(A71,'2025 coop match data'!$A$4:$D$94,3,FALSE),"")</f>
        <v>0</v>
      </c>
      <c r="F71" s="2"/>
    </row>
    <row r="72" spans="1:6" x14ac:dyDescent="0.25">
      <c r="A72" t="s">
        <v>138</v>
      </c>
      <c r="B72" s="2"/>
      <c r="C72" s="2"/>
      <c r="D72" s="2">
        <v>2166</v>
      </c>
      <c r="E72" s="2">
        <f>IFERROR(VLOOKUP(A72,'2025 coop match data'!$A$4:$D$94,3,FALSE),"")</f>
        <v>999</v>
      </c>
      <c r="F72" s="2"/>
    </row>
    <row r="73" spans="1:6" x14ac:dyDescent="0.25">
      <c r="A73" t="s">
        <v>139</v>
      </c>
      <c r="B73" s="2"/>
      <c r="C73" s="2"/>
      <c r="E73" s="2">
        <f>IFERROR(VLOOKUP(A73,'2025 coop match data'!$A$4:$D$94,3,FALSE),"")</f>
        <v>0</v>
      </c>
      <c r="F73" s="2"/>
    </row>
    <row r="74" spans="1:6" x14ac:dyDescent="0.25">
      <c r="A74" t="s">
        <v>140</v>
      </c>
      <c r="B74" s="2"/>
      <c r="C74" s="2"/>
      <c r="D74" s="2">
        <v>12215</v>
      </c>
      <c r="E74" s="2">
        <v>3065</v>
      </c>
      <c r="F74" s="2"/>
    </row>
    <row r="75" spans="1:6" x14ac:dyDescent="0.25">
      <c r="A75" t="s">
        <v>141</v>
      </c>
      <c r="B75" s="2"/>
      <c r="C75" s="2"/>
      <c r="E75" s="2">
        <v>0</v>
      </c>
      <c r="F75" s="2"/>
    </row>
    <row r="76" spans="1:6" x14ac:dyDescent="0.25">
      <c r="A76" t="s">
        <v>142</v>
      </c>
      <c r="B76" s="2"/>
      <c r="C76" s="2"/>
      <c r="E76" s="2">
        <f>IFERROR(VLOOKUP(A76,'2025 coop match data'!$A$4:$D$94,3,FALSE),"")</f>
        <v>0</v>
      </c>
      <c r="F76" s="2"/>
    </row>
    <row r="77" spans="1:6" x14ac:dyDescent="0.25">
      <c r="A77" t="s">
        <v>143</v>
      </c>
      <c r="B77" s="2"/>
      <c r="C77" s="2"/>
      <c r="E77" s="2">
        <f>IFERROR(VLOOKUP(A77,'2025 coop match data'!$A$4:$D$94,3,FALSE),"")</f>
        <v>0</v>
      </c>
      <c r="F77" s="2"/>
    </row>
    <row r="78" spans="1:6" x14ac:dyDescent="0.25">
      <c r="A78" t="s">
        <v>144</v>
      </c>
      <c r="B78" s="2"/>
      <c r="C78" s="2"/>
      <c r="E78" s="2">
        <f>IFERROR(VLOOKUP(A78,'2025 coop match data'!$A$4:$D$94,3,FALSE),"")</f>
        <v>0</v>
      </c>
      <c r="F78" s="2"/>
    </row>
    <row r="79" spans="1:6" x14ac:dyDescent="0.25">
      <c r="A79" t="s">
        <v>145</v>
      </c>
      <c r="B79" s="2"/>
      <c r="C79" s="2"/>
      <c r="E79" s="2">
        <f>IFERROR(VLOOKUP(A79,'2025 coop match data'!$A$4:$D$94,3,FALSE),"")</f>
        <v>0</v>
      </c>
      <c r="F79" s="2"/>
    </row>
    <row r="80" spans="1:6" x14ac:dyDescent="0.25">
      <c r="A80" t="s">
        <v>146</v>
      </c>
      <c r="B80" s="2"/>
      <c r="C80" s="2"/>
      <c r="E80" s="2">
        <f>IFERROR(VLOOKUP(A80,'2025 coop match data'!$A$4:$D$94,3,FALSE),"")</f>
        <v>0</v>
      </c>
      <c r="F80" s="2"/>
    </row>
    <row r="81" spans="1:6" x14ac:dyDescent="0.25">
      <c r="A81" t="s">
        <v>147</v>
      </c>
      <c r="B81" s="2"/>
      <c r="C81" s="2"/>
      <c r="E81" s="2">
        <v>0</v>
      </c>
      <c r="F81" s="2"/>
    </row>
    <row r="82" spans="1:6" x14ac:dyDescent="0.25">
      <c r="A82" t="s">
        <v>148</v>
      </c>
      <c r="B82" s="2"/>
      <c r="C82" s="2"/>
      <c r="E82" s="2">
        <v>0</v>
      </c>
      <c r="F82" s="2"/>
    </row>
    <row r="83" spans="1:6" x14ac:dyDescent="0.25">
      <c r="A83" t="s">
        <v>149</v>
      </c>
      <c r="B83" s="2"/>
      <c r="C83" s="2"/>
      <c r="E83" s="2">
        <v>0</v>
      </c>
      <c r="F83" s="2"/>
    </row>
    <row r="84" spans="1:6" x14ac:dyDescent="0.25">
      <c r="A84" t="s">
        <v>150</v>
      </c>
      <c r="B84" s="2"/>
      <c r="C84" s="2"/>
      <c r="D84" s="2">
        <v>32781</v>
      </c>
      <c r="E84" s="2">
        <f>IFERROR(VLOOKUP(A84,'2025 coop match data'!$A$4:$D$94,3,FALSE),"")</f>
        <v>5908</v>
      </c>
      <c r="F84" s="2"/>
    </row>
    <row r="85" spans="1:6" x14ac:dyDescent="0.25">
      <c r="A85" t="s">
        <v>151</v>
      </c>
      <c r="B85" s="2"/>
      <c r="C85" s="2"/>
      <c r="E85" s="2">
        <f>IFERROR(VLOOKUP(A85,'2025 coop match data'!$A$4:$D$94,3,FALSE),"")</f>
        <v>0</v>
      </c>
      <c r="F85" s="2"/>
    </row>
    <row r="86" spans="1:6" x14ac:dyDescent="0.25">
      <c r="A86" t="s">
        <v>152</v>
      </c>
      <c r="B86" s="2"/>
      <c r="C86" s="2"/>
      <c r="E86" s="2">
        <f>IFERROR(VLOOKUP(A86,'2025 coop match data'!$A$4:$D$94,3,FALSE),"")</f>
        <v>0</v>
      </c>
      <c r="F86" s="2"/>
    </row>
    <row r="87" spans="1:6" x14ac:dyDescent="0.25">
      <c r="A87" t="s">
        <v>153</v>
      </c>
      <c r="B87" s="2"/>
      <c r="C87" s="2"/>
      <c r="E87" s="2">
        <f>39150+12000+8000</f>
        <v>59150</v>
      </c>
      <c r="F87" s="2"/>
    </row>
    <row r="88" spans="1:6" x14ac:dyDescent="0.25">
      <c r="A88" t="s">
        <v>154</v>
      </c>
      <c r="B88" s="2"/>
      <c r="C88" s="2"/>
      <c r="E88" s="2">
        <f>IFERROR(VLOOKUP(A88,'2025 coop match data'!$A$4:$D$94,3,FALSE),"")</f>
        <v>0</v>
      </c>
      <c r="F88" s="2"/>
    </row>
    <row r="89" spans="1:6" x14ac:dyDescent="0.25">
      <c r="A89" t="s">
        <v>155</v>
      </c>
      <c r="B89" s="2"/>
      <c r="C89" s="2"/>
      <c r="E89" s="2">
        <f>IFERROR(VLOOKUP(A89,'2025 coop match data'!$A$4:$D$94,3,FALSE),"")</f>
        <v>0</v>
      </c>
      <c r="F89" s="2"/>
    </row>
    <row r="90" spans="1:6" x14ac:dyDescent="0.25">
      <c r="A90" t="s">
        <v>156</v>
      </c>
      <c r="B90" s="2"/>
      <c r="C90" s="2"/>
      <c r="E90" s="2">
        <f>IFERROR(VLOOKUP(A90,'2025 coop match data'!$A$4:$D$94,3,FALSE),"")</f>
        <v>0</v>
      </c>
      <c r="F90" s="2"/>
    </row>
    <row r="91" spans="1:6" x14ac:dyDescent="0.25">
      <c r="A91" t="s">
        <v>157</v>
      </c>
      <c r="B91" s="2"/>
      <c r="C91" s="2"/>
      <c r="E91" s="2">
        <f>IFERROR(VLOOKUP(A91,'2025 coop match data'!$A$4:$D$94,3,FALSE),"")</f>
        <v>0</v>
      </c>
      <c r="F91" s="2"/>
    </row>
    <row r="92" spans="1:6" x14ac:dyDescent="0.25">
      <c r="A92" t="s">
        <v>158</v>
      </c>
      <c r="B92" s="2"/>
      <c r="C92" s="2"/>
      <c r="E92" s="2">
        <v>0</v>
      </c>
      <c r="F92" s="2"/>
    </row>
    <row r="93" spans="1:6" x14ac:dyDescent="0.25">
      <c r="A93" t="s">
        <v>159</v>
      </c>
      <c r="B93" s="2"/>
      <c r="C93" s="2"/>
      <c r="E93" s="2">
        <f>IFERROR(VLOOKUP(A93,'2025 coop match data'!$A$4:$D$94,3,FALSE),"")</f>
        <v>0</v>
      </c>
      <c r="F93" s="2"/>
    </row>
    <row r="94" spans="1:6" x14ac:dyDescent="0.25">
      <c r="A94" t="s">
        <v>160</v>
      </c>
      <c r="B94" s="2"/>
      <c r="C94" s="2"/>
      <c r="E94" s="2">
        <v>11942</v>
      </c>
      <c r="F94" s="2"/>
    </row>
    <row r="95" spans="1:6" x14ac:dyDescent="0.25">
      <c r="A95" t="s">
        <v>161</v>
      </c>
      <c r="B95" s="2"/>
      <c r="C95" s="2"/>
      <c r="E95" s="2">
        <f>IFERROR(VLOOKUP(A95,'2025 coop match data'!$A$4:$D$94,3,FALSE),"")</f>
        <v>0</v>
      </c>
      <c r="F95" s="2"/>
    </row>
    <row r="96" spans="1:6" x14ac:dyDescent="0.25">
      <c r="A96" t="s">
        <v>162</v>
      </c>
      <c r="B96" s="2"/>
      <c r="C96" s="2"/>
      <c r="E96" s="2">
        <f>IFERROR(VLOOKUP(A96,'2025 coop match data'!$A$4:$D$94,3,FALSE),"")</f>
        <v>0</v>
      </c>
      <c r="F96" s="2"/>
    </row>
    <row r="97" spans="1:6" x14ac:dyDescent="0.25">
      <c r="A97" t="s">
        <v>163</v>
      </c>
      <c r="B97" s="2"/>
      <c r="C97" s="2"/>
      <c r="E97" s="2">
        <v>17174</v>
      </c>
      <c r="F97" s="2"/>
    </row>
    <row r="98" spans="1:6" x14ac:dyDescent="0.25">
      <c r="A98" t="s">
        <v>164</v>
      </c>
      <c r="B98" s="2"/>
      <c r="C98" s="2"/>
      <c r="E98" s="2">
        <v>0</v>
      </c>
      <c r="F98" s="2"/>
    </row>
    <row r="99" spans="1:6" x14ac:dyDescent="0.25">
      <c r="A99" t="s">
        <v>165</v>
      </c>
      <c r="B99" s="2"/>
      <c r="C99" s="2"/>
      <c r="E99" s="2">
        <f>IFERROR(VLOOKUP(A99,'2025 coop match data'!$A$4:$D$94,3,FALSE),"")</f>
        <v>0</v>
      </c>
      <c r="F99" s="2"/>
    </row>
    <row r="100" spans="1:6" x14ac:dyDescent="0.25">
      <c r="A100" t="s">
        <v>166</v>
      </c>
      <c r="B100" s="2"/>
      <c r="C100" s="2"/>
      <c r="E100" s="2">
        <f>IFERROR(VLOOKUP(A100,'2025 coop match data'!$A$4:$D$94,3,FALSE),"")</f>
        <v>0</v>
      </c>
      <c r="F100" s="2"/>
    </row>
    <row r="101" spans="1:6" x14ac:dyDescent="0.25">
      <c r="A101" t="s">
        <v>167</v>
      </c>
      <c r="B101" s="2"/>
      <c r="C101" s="2"/>
      <c r="E101" s="2">
        <v>0</v>
      </c>
      <c r="F101" s="2"/>
    </row>
    <row r="102" spans="1:6" x14ac:dyDescent="0.25">
      <c r="A102" t="s">
        <v>168</v>
      </c>
      <c r="B102" s="2"/>
      <c r="C102" s="2"/>
      <c r="E102" s="2">
        <f>IFERROR(VLOOKUP(A102,'2025 coop match data'!$A$4:$D$94,3,FALSE),"")</f>
        <v>0</v>
      </c>
      <c r="F102" s="2"/>
    </row>
    <row r="103" spans="1:6" x14ac:dyDescent="0.25">
      <c r="A103" t="s">
        <v>169</v>
      </c>
      <c r="B103" s="2"/>
      <c r="C103" s="2"/>
      <c r="E103" s="2">
        <f>IFERROR(VLOOKUP(A103,'2025 coop match data'!$A$4:$D$94,3,FALSE),"")</f>
        <v>0</v>
      </c>
      <c r="F103" s="2"/>
    </row>
    <row r="104" spans="1:6" x14ac:dyDescent="0.25">
      <c r="A104" t="s">
        <v>170</v>
      </c>
      <c r="B104" s="2"/>
      <c r="C104" s="2"/>
      <c r="D104" s="2">
        <v>28864</v>
      </c>
      <c r="E104" s="2">
        <f>IFERROR(VLOOKUP(A104,'2025 coop match data'!$A$4:$D$94,3,FALSE),"")</f>
        <v>5202</v>
      </c>
      <c r="F104" s="2"/>
    </row>
    <row r="105" spans="1:6" x14ac:dyDescent="0.25">
      <c r="A105" t="s">
        <v>171</v>
      </c>
      <c r="B105" s="2"/>
      <c r="C105" s="2"/>
      <c r="D105" s="2">
        <v>6720</v>
      </c>
      <c r="E105" s="2">
        <f>IFERROR(VLOOKUP(A105,'2025 coop match data'!$A$4:$D$94,3,FALSE),"")</f>
        <v>1211</v>
      </c>
      <c r="F105" s="2"/>
    </row>
    <row r="106" spans="1:6" x14ac:dyDescent="0.25">
      <c r="A106" t="s">
        <v>172</v>
      </c>
      <c r="B106" s="2"/>
      <c r="C106" s="2"/>
      <c r="E106" s="2">
        <f>IFERROR(VLOOKUP(A106,'2025 coop match data'!$A$4:$D$94,3,FALSE),"")</f>
        <v>0</v>
      </c>
      <c r="F106" s="2"/>
    </row>
    <row r="107" spans="1:6" x14ac:dyDescent="0.25">
      <c r="A107" t="s">
        <v>174</v>
      </c>
      <c r="B107" s="2"/>
      <c r="C107" s="2"/>
      <c r="E107" s="2">
        <v>94</v>
      </c>
      <c r="F107" s="2"/>
    </row>
    <row r="108" spans="1:6" x14ac:dyDescent="0.25">
      <c r="A108" t="s">
        <v>173</v>
      </c>
      <c r="B108" s="2"/>
      <c r="C108" s="2"/>
      <c r="E108" s="2">
        <f>IFERROR(VLOOKUP(A108,'2025 coop match data'!$A$4:$D$94,3,FALSE),"")</f>
        <v>0</v>
      </c>
      <c r="F108" s="2"/>
    </row>
    <row r="109" spans="1:6" x14ac:dyDescent="0.25">
      <c r="A109" t="s">
        <v>175</v>
      </c>
      <c r="B109" s="2"/>
      <c r="C109" s="2"/>
      <c r="D109" s="2">
        <v>50573</v>
      </c>
      <c r="E109" s="2">
        <f>IFERROR(VLOOKUP(A109,'2025 coop match data'!$A$4:$D$94,3,FALSE),"")</f>
        <v>0</v>
      </c>
      <c r="F109" s="2"/>
    </row>
    <row r="110" spans="1:6" x14ac:dyDescent="0.25">
      <c r="A110" t="s">
        <v>176</v>
      </c>
      <c r="B110" s="2"/>
      <c r="C110" s="2"/>
      <c r="E110" s="2">
        <v>11742</v>
      </c>
      <c r="F110" s="2"/>
    </row>
    <row r="111" spans="1:6" x14ac:dyDescent="0.25">
      <c r="A111" t="s">
        <v>177</v>
      </c>
      <c r="B111" s="2"/>
      <c r="C111" s="2"/>
      <c r="E111" s="2">
        <f>IFERROR(VLOOKUP(A111,'2025 coop match data'!$A$4:$D$94,3,FALSE),"")</f>
        <v>7997</v>
      </c>
      <c r="F111" s="2"/>
    </row>
    <row r="112" spans="1:6" x14ac:dyDescent="0.25">
      <c r="A112" t="s">
        <v>178</v>
      </c>
      <c r="B112" s="2"/>
      <c r="C112" s="2"/>
      <c r="E112" s="2">
        <v>17884</v>
      </c>
      <c r="F112" s="2"/>
    </row>
    <row r="113" spans="1:6" x14ac:dyDescent="0.25">
      <c r="A113" t="s">
        <v>179</v>
      </c>
      <c r="B113" s="2"/>
      <c r="C113" s="2"/>
      <c r="E113" s="2">
        <f>IFERROR(VLOOKUP(A113,'2025 coop match data'!$A$4:$D$94,3,FALSE),"")</f>
        <v>0</v>
      </c>
      <c r="F113" s="2"/>
    </row>
    <row r="114" spans="1:6" x14ac:dyDescent="0.25">
      <c r="A114" t="s">
        <v>180</v>
      </c>
      <c r="B114" s="2"/>
      <c r="C114" s="2"/>
      <c r="E114" s="2">
        <f>IFERROR(VLOOKUP(A114,'2025 coop match data'!$A$4:$D$94,3,FALSE),"")</f>
        <v>0</v>
      </c>
      <c r="F114" s="2"/>
    </row>
    <row r="115" spans="1:6" x14ac:dyDescent="0.25">
      <c r="A115" t="s">
        <v>181</v>
      </c>
      <c r="B115" s="2"/>
      <c r="C115" s="2"/>
      <c r="E115" s="2">
        <f>IFERROR(VLOOKUP(A115,'2025 coop match data'!$A$4:$D$94,3,FALSE),"")</f>
        <v>0</v>
      </c>
      <c r="F115" s="2"/>
    </row>
    <row r="116" spans="1:6" x14ac:dyDescent="0.25">
      <c r="A116" t="s">
        <v>182</v>
      </c>
      <c r="B116" s="2"/>
      <c r="C116" s="2"/>
      <c r="E116" s="2">
        <v>0</v>
      </c>
      <c r="F116" s="2"/>
    </row>
    <row r="117" spans="1:6" x14ac:dyDescent="0.25">
      <c r="A117" t="s">
        <v>183</v>
      </c>
      <c r="B117" s="2"/>
      <c r="C117" s="2"/>
      <c r="E117" s="2">
        <v>20147</v>
      </c>
      <c r="F117" s="2"/>
    </row>
    <row r="118" spans="1:6" x14ac:dyDescent="0.25">
      <c r="A118" t="s">
        <v>184</v>
      </c>
      <c r="B118" s="2"/>
      <c r="C118" s="2"/>
      <c r="E118" s="2">
        <v>0</v>
      </c>
      <c r="F118" s="2"/>
    </row>
    <row r="119" spans="1:6" x14ac:dyDescent="0.25">
      <c r="A119" t="s">
        <v>185</v>
      </c>
      <c r="B119" s="2"/>
      <c r="C119" s="2"/>
      <c r="E119" s="2">
        <f>IFERROR(VLOOKUP(A119,'2025 coop match data'!$A$4:$D$94,3,FALSE),"")</f>
        <v>48222</v>
      </c>
      <c r="F119" s="2"/>
    </row>
    <row r="120" spans="1:6" x14ac:dyDescent="0.25">
      <c r="A120" t="s">
        <v>186</v>
      </c>
      <c r="B120" s="2"/>
      <c r="C120" s="2"/>
      <c r="D120" s="2">
        <v>39256</v>
      </c>
      <c r="E120" s="2">
        <f>IFERROR(VLOOKUP(A120,'2025 coop match data'!$A$4:$D$94,3,FALSE),"")</f>
        <v>2775</v>
      </c>
      <c r="F120" s="2"/>
    </row>
    <row r="121" spans="1:6" x14ac:dyDescent="0.25">
      <c r="A121" t="s">
        <v>187</v>
      </c>
      <c r="B121" s="2"/>
      <c r="C121" s="2"/>
      <c r="E121" s="2">
        <v>0</v>
      </c>
      <c r="F121" s="2"/>
    </row>
    <row r="122" spans="1:6" x14ac:dyDescent="0.25">
      <c r="A122" t="s">
        <v>188</v>
      </c>
      <c r="B122" s="2"/>
      <c r="C122" s="2"/>
      <c r="E122" s="2">
        <f>IFERROR(VLOOKUP(A122,'2025 coop match data'!$A$4:$D$94,3,FALSE),"")</f>
        <v>0</v>
      </c>
      <c r="F122" s="2"/>
    </row>
    <row r="123" spans="1:6" x14ac:dyDescent="0.25">
      <c r="A123" t="s">
        <v>189</v>
      </c>
      <c r="B123" s="2"/>
      <c r="C123" s="2"/>
      <c r="E123" s="2">
        <f>IFERROR(VLOOKUP(A123,'2025 coop match data'!$A$4:$D$94,3,FALSE),"")</f>
        <v>0</v>
      </c>
      <c r="F123" s="2"/>
    </row>
    <row r="124" spans="1:6" x14ac:dyDescent="0.25">
      <c r="A124" t="s">
        <v>190</v>
      </c>
      <c r="B124" s="2"/>
      <c r="C124" s="2"/>
      <c r="E124" s="2">
        <v>2359</v>
      </c>
      <c r="F124" s="2"/>
    </row>
    <row r="125" spans="1:6" x14ac:dyDescent="0.25">
      <c r="A125" t="s">
        <v>12</v>
      </c>
      <c r="B125" s="2"/>
      <c r="C125" s="2"/>
      <c r="E125" s="2">
        <f>IFERROR(VLOOKUP(A125,'2025 coop match data'!$A$4:$D$94,3,FALSE),"")</f>
        <v>0</v>
      </c>
      <c r="F125" s="2"/>
    </row>
    <row r="126" spans="1:6" x14ac:dyDescent="0.25">
      <c r="A126" t="s">
        <v>191</v>
      </c>
      <c r="B126" s="2"/>
      <c r="C126" s="2"/>
      <c r="E126" s="2">
        <f>IFERROR(VLOOKUP(A126,'2025 coop match data'!$A$4:$D$94,3,FALSE),"")</f>
        <v>0</v>
      </c>
      <c r="F126" s="2"/>
    </row>
    <row r="127" spans="1:6" x14ac:dyDescent="0.25">
      <c r="A127" t="s">
        <v>192</v>
      </c>
      <c r="B127" s="2"/>
      <c r="C127" s="2"/>
      <c r="E127" s="2">
        <v>0</v>
      </c>
      <c r="F127" s="2"/>
    </row>
    <row r="128" spans="1:6" x14ac:dyDescent="0.25">
      <c r="A128" t="s">
        <v>193</v>
      </c>
      <c r="B128" s="2"/>
      <c r="C128" s="2">
        <v>23194</v>
      </c>
      <c r="E128" s="2">
        <f>IFERROR(VLOOKUP(A128,'2025 coop match data'!$A$4:$D$94,3,FALSE),"")</f>
        <v>0</v>
      </c>
      <c r="F128" s="2"/>
    </row>
    <row r="129" spans="1:6" x14ac:dyDescent="0.25">
      <c r="A129" t="s">
        <v>194</v>
      </c>
      <c r="B129" s="2"/>
      <c r="C129" s="2"/>
      <c r="E129" s="2">
        <v>0</v>
      </c>
      <c r="F129" s="2"/>
    </row>
    <row r="130" spans="1:6" x14ac:dyDescent="0.25">
      <c r="A130" t="s">
        <v>195</v>
      </c>
      <c r="B130" s="2"/>
      <c r="C130" s="2"/>
      <c r="E130" s="2">
        <f>IFERROR(VLOOKUP(A130,'2025 coop match data'!$A$4:$D$94,3,FALSE),"")</f>
        <v>0</v>
      </c>
      <c r="F130" s="2"/>
    </row>
    <row r="131" spans="1:6" x14ac:dyDescent="0.25">
      <c r="A131" t="s">
        <v>196</v>
      </c>
      <c r="B131" s="2"/>
      <c r="C131" s="2"/>
      <c r="E131" s="2">
        <f>IFERROR(VLOOKUP(A131,'2025 coop match data'!$A$4:$D$94,3,FALSE),"")</f>
        <v>2505</v>
      </c>
      <c r="F131" s="2"/>
    </row>
    <row r="132" spans="1:6" x14ac:dyDescent="0.25">
      <c r="A132" t="s">
        <v>197</v>
      </c>
      <c r="B132" s="2"/>
      <c r="C132" s="2"/>
      <c r="E132" s="2">
        <v>18904</v>
      </c>
      <c r="F132" s="2"/>
    </row>
    <row r="133" spans="1:6" x14ac:dyDescent="0.25">
      <c r="A133" t="s">
        <v>198</v>
      </c>
      <c r="B133" s="2"/>
      <c r="C133" s="2"/>
      <c r="E133" s="2">
        <f>IFERROR(VLOOKUP(A133,'2025 coop match data'!$A$4:$D$94,3,FALSE),"")</f>
        <v>0</v>
      </c>
      <c r="F133" s="2"/>
    </row>
    <row r="134" spans="1:6" x14ac:dyDescent="0.25">
      <c r="A134" t="s">
        <v>199</v>
      </c>
      <c r="B134" s="2"/>
      <c r="C134" s="2"/>
      <c r="D134" s="2">
        <v>4702</v>
      </c>
      <c r="E134" s="2">
        <v>11285</v>
      </c>
      <c r="F134" s="2"/>
    </row>
    <row r="135" spans="1:6" x14ac:dyDescent="0.25">
      <c r="A135" t="s">
        <v>200</v>
      </c>
      <c r="B135" s="2"/>
      <c r="C135" s="2"/>
      <c r="E135" s="2">
        <f>IFERROR(VLOOKUP(A135,'2025 coop match data'!$A$4:$D$94,3,FALSE),"")</f>
        <v>16341</v>
      </c>
      <c r="F135" s="2"/>
    </row>
  </sheetData>
  <conditionalFormatting sqref="A1:B2 C2:S2 E1:F1 I1:J1 M1:N1 Q1:R1 A136:B1048576 A3:A135">
    <cfRule type="duplicateValues" dxfId="5" priority="2"/>
  </conditionalFormatting>
  <conditionalFormatting sqref="B3:B135">
    <cfRule type="duplicateValues" dxfId="4"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EDA8-4ECA-4104-95BA-7A68E2276489}">
  <dimension ref="A1:S135"/>
  <sheetViews>
    <sheetView topLeftCell="A94" workbookViewId="0">
      <selection activeCell="I121" sqref="I121"/>
    </sheetView>
  </sheetViews>
  <sheetFormatPr defaultRowHeight="15" x14ac:dyDescent="0.25"/>
  <cols>
    <col min="1" max="1" width="23.85546875" customWidth="1"/>
    <col min="2" max="3" width="12.7109375" customWidth="1"/>
    <col min="4" max="4" width="12.7109375" style="2" customWidth="1"/>
    <col min="5" max="19" width="12.7109375" customWidth="1"/>
  </cols>
  <sheetData>
    <row r="1" spans="1:19" x14ac:dyDescent="0.25">
      <c r="A1">
        <v>1</v>
      </c>
      <c r="B1">
        <v>2</v>
      </c>
      <c r="C1">
        <v>3</v>
      </c>
      <c r="D1" s="2">
        <v>4</v>
      </c>
      <c r="E1">
        <v>5</v>
      </c>
      <c r="F1">
        <v>6</v>
      </c>
      <c r="G1">
        <v>7</v>
      </c>
      <c r="H1" s="2">
        <v>8</v>
      </c>
      <c r="I1">
        <v>9</v>
      </c>
      <c r="J1">
        <v>10</v>
      </c>
      <c r="K1">
        <v>11</v>
      </c>
      <c r="L1" s="2">
        <v>12</v>
      </c>
      <c r="M1">
        <v>13</v>
      </c>
      <c r="N1">
        <v>14</v>
      </c>
      <c r="O1">
        <v>15</v>
      </c>
      <c r="P1" s="2">
        <v>16</v>
      </c>
      <c r="Q1">
        <v>17</v>
      </c>
      <c r="R1">
        <v>18</v>
      </c>
      <c r="S1">
        <v>19</v>
      </c>
    </row>
    <row r="2" spans="1:19" s="1" customFormat="1" x14ac:dyDescent="0.25">
      <c r="B2" s="4" t="s">
        <v>55</v>
      </c>
      <c r="C2" s="4" t="s">
        <v>57</v>
      </c>
      <c r="D2" s="4" t="s">
        <v>59</v>
      </c>
      <c r="E2" s="4" t="s">
        <v>61</v>
      </c>
      <c r="F2" s="4" t="s">
        <v>63</v>
      </c>
      <c r="G2" s="4" t="s">
        <v>65</v>
      </c>
      <c r="H2" s="4" t="s">
        <v>66</v>
      </c>
      <c r="I2" s="4" t="s">
        <v>68</v>
      </c>
      <c r="J2" s="4" t="s">
        <v>70</v>
      </c>
      <c r="K2" s="4" t="s">
        <v>72</v>
      </c>
      <c r="L2" s="4" t="s">
        <v>74</v>
      </c>
      <c r="M2" s="4" t="s">
        <v>76</v>
      </c>
      <c r="N2" s="4" t="s">
        <v>78</v>
      </c>
      <c r="O2" s="4" t="s">
        <v>80</v>
      </c>
      <c r="P2" s="4" t="s">
        <v>82</v>
      </c>
      <c r="Q2" s="4" t="s">
        <v>84</v>
      </c>
      <c r="R2" s="4" t="s">
        <v>86</v>
      </c>
      <c r="S2" s="4" t="s">
        <v>88</v>
      </c>
    </row>
    <row r="3" spans="1:19" x14ac:dyDescent="0.25">
      <c r="A3" t="s">
        <v>53</v>
      </c>
      <c r="D3" s="2">
        <v>85941</v>
      </c>
      <c r="E3" s="2">
        <f>IFERROR(VLOOKUP(A3,'2025 coop match data'!$A$4:$D$94,4,FALSE),"")</f>
        <v>37079</v>
      </c>
    </row>
    <row r="4" spans="1:19" x14ac:dyDescent="0.25">
      <c r="A4" t="s">
        <v>54</v>
      </c>
      <c r="E4" s="2">
        <f>IFERROR(VLOOKUP(A4,'2025 coop match data'!$A$4:$D$94,4,FALSE),"")</f>
        <v>30000</v>
      </c>
    </row>
    <row r="5" spans="1:19" x14ac:dyDescent="0.25">
      <c r="A5" t="s">
        <v>56</v>
      </c>
      <c r="D5" s="2">
        <v>12000</v>
      </c>
      <c r="E5" s="2">
        <f>IFERROR(VLOOKUP(A5,'2025 coop match data'!$A$4:$D$94,4,FALSE),"")</f>
        <v>12000</v>
      </c>
    </row>
    <row r="6" spans="1:19" x14ac:dyDescent="0.25">
      <c r="A6" t="s">
        <v>58</v>
      </c>
      <c r="E6" s="2">
        <f>IFERROR(VLOOKUP(A6,'2025 coop match data'!$A$4:$D$94,4,FALSE),"")</f>
        <v>89112</v>
      </c>
    </row>
    <row r="7" spans="1:19" x14ac:dyDescent="0.25">
      <c r="A7" t="s">
        <v>60</v>
      </c>
      <c r="E7" s="2">
        <v>0</v>
      </c>
    </row>
    <row r="8" spans="1:19" x14ac:dyDescent="0.25">
      <c r="A8" t="s">
        <v>62</v>
      </c>
      <c r="E8" s="2">
        <v>0</v>
      </c>
    </row>
    <row r="9" spans="1:19" x14ac:dyDescent="0.25">
      <c r="A9" t="s">
        <v>64</v>
      </c>
      <c r="E9" s="2">
        <v>0</v>
      </c>
    </row>
    <row r="10" spans="1:19" x14ac:dyDescent="0.25">
      <c r="A10" t="s">
        <v>11</v>
      </c>
      <c r="E10" s="2">
        <v>0</v>
      </c>
    </row>
    <row r="11" spans="1:19" x14ac:dyDescent="0.25">
      <c r="A11" t="s">
        <v>67</v>
      </c>
      <c r="D11" s="2">
        <v>5000</v>
      </c>
      <c r="E11" s="2">
        <v>0</v>
      </c>
    </row>
    <row r="12" spans="1:19" x14ac:dyDescent="0.25">
      <c r="A12" t="s">
        <v>69</v>
      </c>
      <c r="E12" s="2">
        <v>0</v>
      </c>
    </row>
    <row r="13" spans="1:19" x14ac:dyDescent="0.25">
      <c r="A13" t="s">
        <v>71</v>
      </c>
      <c r="E13" s="2">
        <v>0</v>
      </c>
    </row>
    <row r="14" spans="1:19" x14ac:dyDescent="0.25">
      <c r="A14" t="s">
        <v>73</v>
      </c>
      <c r="E14" s="2">
        <v>0</v>
      </c>
    </row>
    <row r="15" spans="1:19" x14ac:dyDescent="0.25">
      <c r="A15" t="s">
        <v>75</v>
      </c>
      <c r="D15" s="2">
        <v>5000</v>
      </c>
      <c r="E15" s="2">
        <v>0</v>
      </c>
    </row>
    <row r="16" spans="1:19" x14ac:dyDescent="0.25">
      <c r="A16" t="s">
        <v>77</v>
      </c>
      <c r="E16" s="2">
        <f>IFERROR(VLOOKUP(A16,'2025 coop match data'!$A$4:$D$94,4,FALSE),"")</f>
        <v>28396</v>
      </c>
    </row>
    <row r="17" spans="1:5" x14ac:dyDescent="0.25">
      <c r="A17" t="s">
        <v>79</v>
      </c>
      <c r="D17" s="2">
        <v>20000</v>
      </c>
      <c r="E17" s="2">
        <v>0</v>
      </c>
    </row>
    <row r="18" spans="1:5" x14ac:dyDescent="0.25">
      <c r="A18" t="s">
        <v>81</v>
      </c>
      <c r="E18" s="2">
        <v>0</v>
      </c>
    </row>
    <row r="19" spans="1:5" x14ac:dyDescent="0.25">
      <c r="A19" t="s">
        <v>83</v>
      </c>
      <c r="D19" s="2">
        <v>1750</v>
      </c>
      <c r="E19" s="2">
        <v>0</v>
      </c>
    </row>
    <row r="20" spans="1:5" x14ac:dyDescent="0.25">
      <c r="A20" t="s">
        <v>85</v>
      </c>
      <c r="D20" s="2">
        <v>23251</v>
      </c>
      <c r="E20" s="2">
        <f>IFERROR(VLOOKUP(A20,'2025 coop match data'!$A$4:$D$94,4,FALSE),"")</f>
        <v>0</v>
      </c>
    </row>
    <row r="21" spans="1:5" x14ac:dyDescent="0.25">
      <c r="A21" t="s">
        <v>87</v>
      </c>
      <c r="E21" s="2">
        <f>IFERROR(VLOOKUP(A21,'2025 coop match data'!$A$4:$D$94,4,FALSE),"")</f>
        <v>0</v>
      </c>
    </row>
    <row r="22" spans="1:5" x14ac:dyDescent="0.25">
      <c r="A22" t="s">
        <v>89</v>
      </c>
      <c r="E22" s="2">
        <f>IFERROR(VLOOKUP(A22,'2025 coop match data'!$A$4:$D$94,4,FALSE),"")</f>
        <v>0</v>
      </c>
    </row>
    <row r="23" spans="1:5" x14ac:dyDescent="0.25">
      <c r="A23" t="s">
        <v>90</v>
      </c>
      <c r="D23" s="2">
        <v>10000</v>
      </c>
      <c r="E23" s="2">
        <f>IFERROR(VLOOKUP(A23,'2025 coop match data'!$A$4:$D$94,4,FALSE),"")</f>
        <v>58658</v>
      </c>
    </row>
    <row r="24" spans="1:5" x14ac:dyDescent="0.25">
      <c r="A24" t="s">
        <v>91</v>
      </c>
      <c r="E24" s="2">
        <f>IFERROR(VLOOKUP(A24,'2025 coop match data'!$A$4:$D$94,4,FALSE),"")</f>
        <v>50000</v>
      </c>
    </row>
    <row r="25" spans="1:5" x14ac:dyDescent="0.25">
      <c r="A25" t="s">
        <v>92</v>
      </c>
      <c r="E25" s="2">
        <v>0</v>
      </c>
    </row>
    <row r="26" spans="1:5" x14ac:dyDescent="0.25">
      <c r="A26" t="s">
        <v>93</v>
      </c>
      <c r="E26" s="2">
        <f>IFERROR(VLOOKUP(A26,'2025 coop match data'!$A$4:$D$94,4,FALSE),"")</f>
        <v>20000</v>
      </c>
    </row>
    <row r="27" spans="1:5" x14ac:dyDescent="0.25">
      <c r="A27" t="s">
        <v>94</v>
      </c>
      <c r="D27" s="2">
        <v>10000</v>
      </c>
      <c r="E27" s="2">
        <f>IFERROR(VLOOKUP(A27,'2025 coop match data'!$A$4:$D$94,4,FALSE),"")</f>
        <v>10000</v>
      </c>
    </row>
    <row r="28" spans="1:5" x14ac:dyDescent="0.25">
      <c r="A28" t="s">
        <v>95</v>
      </c>
      <c r="D28" s="2">
        <v>9195</v>
      </c>
      <c r="E28" s="2">
        <f>IFERROR(VLOOKUP(A28,'2025 coop match data'!$A$4:$D$94,4,FALSE),"")</f>
        <v>0</v>
      </c>
    </row>
    <row r="29" spans="1:5" x14ac:dyDescent="0.25">
      <c r="A29" t="s">
        <v>96</v>
      </c>
      <c r="E29" s="2">
        <f>IFERROR(VLOOKUP(A29,'2025 coop match data'!$A$4:$D$94,4,FALSE),"")</f>
        <v>0</v>
      </c>
    </row>
    <row r="30" spans="1:5" x14ac:dyDescent="0.25">
      <c r="A30" t="s">
        <v>97</v>
      </c>
      <c r="D30" s="2">
        <v>5000</v>
      </c>
      <c r="E30" s="2">
        <f>IFERROR(VLOOKUP(A30,'2025 coop match data'!$A$4:$D$94,4,FALSE),"")</f>
        <v>18654</v>
      </c>
    </row>
    <row r="31" spans="1:5" x14ac:dyDescent="0.25">
      <c r="A31" t="s">
        <v>98</v>
      </c>
      <c r="E31" s="2">
        <f>IFERROR(VLOOKUP(A31,'2025 coop match data'!$A$4:$D$94,4,FALSE),"")</f>
        <v>41836</v>
      </c>
    </row>
    <row r="32" spans="1:5" x14ac:dyDescent="0.25">
      <c r="A32" t="s">
        <v>99</v>
      </c>
      <c r="E32" s="2">
        <v>0</v>
      </c>
    </row>
    <row r="33" spans="1:5" x14ac:dyDescent="0.25">
      <c r="A33" t="s">
        <v>100</v>
      </c>
      <c r="E33" s="2">
        <f>IFERROR(VLOOKUP(A33,'2025 coop match data'!$A$4:$D$94,4,FALSE),"")</f>
        <v>0</v>
      </c>
    </row>
    <row r="34" spans="1:5" x14ac:dyDescent="0.25">
      <c r="A34" t="s">
        <v>101</v>
      </c>
      <c r="D34" s="2">
        <v>1750</v>
      </c>
      <c r="E34" s="2">
        <v>0</v>
      </c>
    </row>
    <row r="35" spans="1:5" x14ac:dyDescent="0.25">
      <c r="A35" t="s">
        <v>102</v>
      </c>
      <c r="E35" s="2">
        <f>IFERROR(VLOOKUP(A35,'2025 coop match data'!$A$4:$D$94,4,FALSE),"")</f>
        <v>0</v>
      </c>
    </row>
    <row r="36" spans="1:5" x14ac:dyDescent="0.25">
      <c r="A36" t="s">
        <v>103</v>
      </c>
      <c r="E36" s="2">
        <f>IFERROR(VLOOKUP(A36,'2025 coop match data'!$A$4:$D$94,4,FALSE),"")</f>
        <v>74618</v>
      </c>
    </row>
    <row r="37" spans="1:5" x14ac:dyDescent="0.25">
      <c r="A37" t="s">
        <v>104</v>
      </c>
      <c r="E37" s="2">
        <v>0</v>
      </c>
    </row>
    <row r="38" spans="1:5" x14ac:dyDescent="0.25">
      <c r="A38" t="s">
        <v>105</v>
      </c>
      <c r="E38" s="2">
        <v>0</v>
      </c>
    </row>
    <row r="39" spans="1:5" x14ac:dyDescent="0.25">
      <c r="A39" t="s">
        <v>106</v>
      </c>
      <c r="E39" s="2">
        <v>0</v>
      </c>
    </row>
    <row r="40" spans="1:5" x14ac:dyDescent="0.25">
      <c r="A40" t="s">
        <v>107</v>
      </c>
      <c r="E40" s="2">
        <v>0</v>
      </c>
    </row>
    <row r="41" spans="1:5" x14ac:dyDescent="0.25">
      <c r="A41" t="s">
        <v>36</v>
      </c>
      <c r="E41" s="2">
        <v>0</v>
      </c>
    </row>
    <row r="42" spans="1:5" x14ac:dyDescent="0.25">
      <c r="A42" t="s">
        <v>108</v>
      </c>
      <c r="E42" s="2">
        <v>0</v>
      </c>
    </row>
    <row r="43" spans="1:5" x14ac:dyDescent="0.25">
      <c r="A43" t="s">
        <v>109</v>
      </c>
      <c r="E43" s="2">
        <v>0</v>
      </c>
    </row>
    <row r="44" spans="1:5" x14ac:dyDescent="0.25">
      <c r="A44" t="s">
        <v>110</v>
      </c>
      <c r="D44" s="2">
        <v>46449</v>
      </c>
      <c r="E44" s="2">
        <f>IFERROR(VLOOKUP(A44,'2025 coop match data'!$A$4:$D$94,4,FALSE),"")</f>
        <v>9735</v>
      </c>
    </row>
    <row r="45" spans="1:5" x14ac:dyDescent="0.25">
      <c r="A45" t="s">
        <v>111</v>
      </c>
      <c r="E45" s="2">
        <f>IFERROR(VLOOKUP(A45,'2025 coop match data'!$A$4:$D$94,4,FALSE),"")</f>
        <v>5000</v>
      </c>
    </row>
    <row r="46" spans="1:5" x14ac:dyDescent="0.25">
      <c r="A46" t="s">
        <v>112</v>
      </c>
      <c r="E46" s="2">
        <v>0</v>
      </c>
    </row>
    <row r="47" spans="1:5" x14ac:dyDescent="0.25">
      <c r="A47" t="s">
        <v>113</v>
      </c>
      <c r="E47" s="2">
        <v>144021</v>
      </c>
    </row>
    <row r="48" spans="1:5" x14ac:dyDescent="0.25">
      <c r="A48" t="s">
        <v>114</v>
      </c>
      <c r="E48" s="2">
        <f>IFERROR(VLOOKUP(A48,'2025 coop match data'!$A$4:$D$94,4,FALSE),"")</f>
        <v>0</v>
      </c>
    </row>
    <row r="49" spans="1:5" x14ac:dyDescent="0.25">
      <c r="A49" t="s">
        <v>115</v>
      </c>
      <c r="E49" s="2">
        <f>IFERROR(VLOOKUP(A49,'2025 coop match data'!$A$4:$D$94,4,FALSE),"")</f>
        <v>0</v>
      </c>
    </row>
    <row r="50" spans="1:5" x14ac:dyDescent="0.25">
      <c r="A50" t="s">
        <v>116</v>
      </c>
      <c r="D50" s="2">
        <v>23112</v>
      </c>
      <c r="E50" s="2">
        <f>IFERROR(VLOOKUP(A50,'2025 coop match data'!$A$4:$D$94,4,FALSE),"")</f>
        <v>21162</v>
      </c>
    </row>
    <row r="51" spans="1:5" x14ac:dyDescent="0.25">
      <c r="A51" t="s">
        <v>117</v>
      </c>
      <c r="D51" s="2">
        <v>104388</v>
      </c>
      <c r="E51" s="2">
        <f>IFERROR(VLOOKUP(A51,'2025 coop match data'!$A$4:$D$94,4,FALSE),"")</f>
        <v>126265</v>
      </c>
    </row>
    <row r="52" spans="1:5" x14ac:dyDescent="0.25">
      <c r="A52" t="s">
        <v>118</v>
      </c>
      <c r="E52" s="2">
        <v>3119</v>
      </c>
    </row>
    <row r="53" spans="1:5" x14ac:dyDescent="0.25">
      <c r="A53" t="s">
        <v>119</v>
      </c>
      <c r="E53" s="2">
        <v>0</v>
      </c>
    </row>
    <row r="54" spans="1:5" x14ac:dyDescent="0.25">
      <c r="A54" t="s">
        <v>120</v>
      </c>
      <c r="D54" s="2">
        <v>10000</v>
      </c>
      <c r="E54" s="2">
        <f>IFERROR(VLOOKUP(A54,'2025 coop match data'!$A$4:$D$94,4,FALSE),"")</f>
        <v>10000</v>
      </c>
    </row>
    <row r="55" spans="1:5" x14ac:dyDescent="0.25">
      <c r="A55" t="s">
        <v>121</v>
      </c>
      <c r="E55" s="2">
        <f>IFERROR(VLOOKUP(A55,'2025 coop match data'!$A$4:$D$94,4,FALSE),"")</f>
        <v>0</v>
      </c>
    </row>
    <row r="56" spans="1:5" x14ac:dyDescent="0.25">
      <c r="A56" t="s">
        <v>122</v>
      </c>
      <c r="E56" s="2">
        <v>0</v>
      </c>
    </row>
    <row r="57" spans="1:5" x14ac:dyDescent="0.25">
      <c r="A57" t="s">
        <v>123</v>
      </c>
      <c r="D57" s="2">
        <v>20000</v>
      </c>
      <c r="E57" s="2">
        <v>0</v>
      </c>
    </row>
    <row r="58" spans="1:5" x14ac:dyDescent="0.25">
      <c r="A58" t="s">
        <v>124</v>
      </c>
      <c r="E58" s="2">
        <f>IFERROR(VLOOKUP(A58,'2025 coop match data'!$A$4:$D$94,4,FALSE),"")</f>
        <v>0</v>
      </c>
    </row>
    <row r="59" spans="1:5" x14ac:dyDescent="0.25">
      <c r="A59" t="s">
        <v>125</v>
      </c>
      <c r="E59" s="2">
        <f>IFERROR(VLOOKUP(A59,'2025 coop match data'!$A$4:$D$94,4,FALSE),"")</f>
        <v>0</v>
      </c>
    </row>
    <row r="60" spans="1:5" x14ac:dyDescent="0.25">
      <c r="A60" t="s">
        <v>126</v>
      </c>
      <c r="E60" s="2">
        <f>IFERROR(VLOOKUP(A60,'2025 coop match data'!$A$4:$D$94,4,FALSE),"")</f>
        <v>12821</v>
      </c>
    </row>
    <row r="61" spans="1:5" x14ac:dyDescent="0.25">
      <c r="A61" t="s">
        <v>127</v>
      </c>
      <c r="E61" s="2">
        <f>20058+50000</f>
        <v>70058</v>
      </c>
    </row>
    <row r="62" spans="1:5" x14ac:dyDescent="0.25">
      <c r="A62" t="s">
        <v>128</v>
      </c>
      <c r="D62" s="2">
        <v>10000</v>
      </c>
      <c r="E62" s="2">
        <v>0</v>
      </c>
    </row>
    <row r="63" spans="1:5" x14ac:dyDescent="0.25">
      <c r="A63" t="s">
        <v>129</v>
      </c>
      <c r="E63" s="2">
        <v>0</v>
      </c>
    </row>
    <row r="64" spans="1:5" x14ac:dyDescent="0.25">
      <c r="A64" t="s">
        <v>130</v>
      </c>
      <c r="E64" s="2">
        <v>0</v>
      </c>
    </row>
    <row r="65" spans="1:5" x14ac:dyDescent="0.25">
      <c r="A65" t="s">
        <v>131</v>
      </c>
      <c r="E65" s="2">
        <v>0</v>
      </c>
    </row>
    <row r="66" spans="1:5" x14ac:dyDescent="0.25">
      <c r="A66" t="s">
        <v>132</v>
      </c>
      <c r="E66" s="2">
        <v>0</v>
      </c>
    </row>
    <row r="67" spans="1:5" x14ac:dyDescent="0.25">
      <c r="A67" t="s">
        <v>133</v>
      </c>
      <c r="E67" s="2">
        <v>0</v>
      </c>
    </row>
    <row r="68" spans="1:5" x14ac:dyDescent="0.25">
      <c r="A68" t="s">
        <v>134</v>
      </c>
      <c r="E68" s="2">
        <v>0</v>
      </c>
    </row>
    <row r="69" spans="1:5" x14ac:dyDescent="0.25">
      <c r="A69" t="s">
        <v>135</v>
      </c>
      <c r="E69" s="2">
        <v>0</v>
      </c>
    </row>
    <row r="70" spans="1:5" x14ac:dyDescent="0.25">
      <c r="A70" t="s">
        <v>136</v>
      </c>
      <c r="E70" s="2">
        <v>0</v>
      </c>
    </row>
    <row r="71" spans="1:5" x14ac:dyDescent="0.25">
      <c r="A71" t="s">
        <v>137</v>
      </c>
      <c r="E71" s="2">
        <f>IFERROR(VLOOKUP(A71,'2025 coop match data'!$A$4:$D$94,4,FALSE),"")</f>
        <v>2500</v>
      </c>
    </row>
    <row r="72" spans="1:5" x14ac:dyDescent="0.25">
      <c r="A72" t="s">
        <v>138</v>
      </c>
      <c r="E72" s="2">
        <f>IFERROR(VLOOKUP(A72,'2025 coop match data'!$A$4:$D$94,4,FALSE),"")</f>
        <v>0</v>
      </c>
    </row>
    <row r="73" spans="1:5" x14ac:dyDescent="0.25">
      <c r="A73" t="s">
        <v>139</v>
      </c>
      <c r="E73" s="2">
        <f>IFERROR(VLOOKUP(A73,'2025 coop match data'!$A$4:$D$94,4,FALSE),"")</f>
        <v>0</v>
      </c>
    </row>
    <row r="74" spans="1:5" x14ac:dyDescent="0.25">
      <c r="A74" t="s">
        <v>140</v>
      </c>
      <c r="D74" s="2">
        <v>109189</v>
      </c>
      <c r="E74" s="2">
        <v>91034</v>
      </c>
    </row>
    <row r="75" spans="1:5" x14ac:dyDescent="0.25">
      <c r="A75" t="s">
        <v>141</v>
      </c>
      <c r="E75" s="2">
        <v>0</v>
      </c>
    </row>
    <row r="76" spans="1:5" x14ac:dyDescent="0.25">
      <c r="A76" t="s">
        <v>142</v>
      </c>
      <c r="E76" s="2">
        <f>IFERROR(VLOOKUP(A76,'2025 coop match data'!$A$4:$D$94,4,FALSE),"")</f>
        <v>0</v>
      </c>
    </row>
    <row r="77" spans="1:5" x14ac:dyDescent="0.25">
      <c r="A77" t="s">
        <v>143</v>
      </c>
      <c r="E77" s="2">
        <f>IFERROR(VLOOKUP(A77,'2025 coop match data'!$A$4:$D$94,4,FALSE),"")</f>
        <v>5000</v>
      </c>
    </row>
    <row r="78" spans="1:5" x14ac:dyDescent="0.25">
      <c r="A78" t="s">
        <v>144</v>
      </c>
      <c r="E78" s="2">
        <f>IFERROR(VLOOKUP(A78,'2025 coop match data'!$A$4:$D$94,4,FALSE),"")</f>
        <v>0</v>
      </c>
    </row>
    <row r="79" spans="1:5" x14ac:dyDescent="0.25">
      <c r="A79" t="s">
        <v>145</v>
      </c>
      <c r="E79" s="2">
        <f>IFERROR(VLOOKUP(A79,'2025 coop match data'!$A$4:$D$94,4,FALSE),"")</f>
        <v>0</v>
      </c>
    </row>
    <row r="80" spans="1:5" x14ac:dyDescent="0.25">
      <c r="A80" t="s">
        <v>146</v>
      </c>
      <c r="D80" s="2">
        <v>10000</v>
      </c>
      <c r="E80" s="2">
        <f>IFERROR(VLOOKUP(A80,'2025 coop match data'!$A$4:$D$94,4,FALSE),"")</f>
        <v>0</v>
      </c>
    </row>
    <row r="81" spans="1:5" x14ac:dyDescent="0.25">
      <c r="A81" t="s">
        <v>147</v>
      </c>
      <c r="E81" s="2">
        <v>0</v>
      </c>
    </row>
    <row r="82" spans="1:5" x14ac:dyDescent="0.25">
      <c r="A82" t="s">
        <v>148</v>
      </c>
      <c r="D82" s="2">
        <v>20000</v>
      </c>
      <c r="E82" s="2">
        <v>0</v>
      </c>
    </row>
    <row r="83" spans="1:5" x14ac:dyDescent="0.25">
      <c r="A83" t="s">
        <v>149</v>
      </c>
      <c r="E83" s="2">
        <v>0</v>
      </c>
    </row>
    <row r="84" spans="1:5" x14ac:dyDescent="0.25">
      <c r="A84" s="82" t="s">
        <v>150</v>
      </c>
      <c r="D84" s="2">
        <v>307531</v>
      </c>
      <c r="E84" s="2">
        <f>IFERROR(VLOOKUP(A84,'2025 coop match data'!$A$4:$D$94,4,FALSE),"")</f>
        <v>64455</v>
      </c>
    </row>
    <row r="85" spans="1:5" x14ac:dyDescent="0.25">
      <c r="A85" t="s">
        <v>151</v>
      </c>
      <c r="E85" s="2">
        <f>IFERROR(VLOOKUP(A85,'2025 coop match data'!$A$4:$D$94,4,FALSE),"")</f>
        <v>5000</v>
      </c>
    </row>
    <row r="86" spans="1:5" x14ac:dyDescent="0.25">
      <c r="A86" t="s">
        <v>152</v>
      </c>
      <c r="E86" s="2">
        <f>IFERROR(VLOOKUP(A86,'2025 coop match data'!$A$4:$D$94,4,FALSE),"")</f>
        <v>5000</v>
      </c>
    </row>
    <row r="87" spans="1:5" x14ac:dyDescent="0.25">
      <c r="A87" t="s">
        <v>153</v>
      </c>
      <c r="E87" s="2">
        <f>IFERROR(VLOOKUP(A87,'2025 coop match data'!$A$4:$D$94,4,FALSE),"")</f>
        <v>0</v>
      </c>
    </row>
    <row r="88" spans="1:5" x14ac:dyDescent="0.25">
      <c r="A88" t="s">
        <v>154</v>
      </c>
      <c r="D88" s="2">
        <v>10000</v>
      </c>
      <c r="E88" s="2">
        <f>IFERROR(VLOOKUP(A88,'2025 coop match data'!$A$4:$D$94,4,FALSE),"")</f>
        <v>10000</v>
      </c>
    </row>
    <row r="89" spans="1:5" x14ac:dyDescent="0.25">
      <c r="A89" t="s">
        <v>155</v>
      </c>
      <c r="E89" s="2">
        <f>IFERROR(VLOOKUP(A89,'2025 coop match data'!$A$4:$D$94,4,FALSE),"")</f>
        <v>9239</v>
      </c>
    </row>
    <row r="90" spans="1:5" x14ac:dyDescent="0.25">
      <c r="A90" t="s">
        <v>156</v>
      </c>
      <c r="E90" s="2">
        <f>IFERROR(VLOOKUP(A90,'2025 coop match data'!$A$4:$D$94,4,FALSE),"")</f>
        <v>0</v>
      </c>
    </row>
    <row r="91" spans="1:5" x14ac:dyDescent="0.25">
      <c r="A91" t="s">
        <v>157</v>
      </c>
      <c r="E91" s="2">
        <f>IFERROR(VLOOKUP(A91,'2025 coop match data'!$A$4:$D$94,4,FALSE),"")</f>
        <v>0</v>
      </c>
    </row>
    <row r="92" spans="1:5" x14ac:dyDescent="0.25">
      <c r="A92" t="s">
        <v>158</v>
      </c>
      <c r="E92" s="2">
        <v>0</v>
      </c>
    </row>
    <row r="93" spans="1:5" x14ac:dyDescent="0.25">
      <c r="A93" t="s">
        <v>159</v>
      </c>
      <c r="E93" s="2">
        <f>5000+5000</f>
        <v>10000</v>
      </c>
    </row>
    <row r="94" spans="1:5" x14ac:dyDescent="0.25">
      <c r="A94" t="s">
        <v>160</v>
      </c>
      <c r="E94" s="2">
        <v>0</v>
      </c>
    </row>
    <row r="95" spans="1:5" x14ac:dyDescent="0.25">
      <c r="A95" t="s">
        <v>161</v>
      </c>
      <c r="E95" s="2">
        <f>IFERROR(VLOOKUP(A95,'2025 coop match data'!$A$4:$D$94,4,FALSE),"")</f>
        <v>0</v>
      </c>
    </row>
    <row r="96" spans="1:5" x14ac:dyDescent="0.25">
      <c r="A96" t="s">
        <v>162</v>
      </c>
      <c r="E96" s="2">
        <f>IFERROR(VLOOKUP(A96,'2025 coop match data'!$A$4:$D$94,4,FALSE),"")</f>
        <v>632</v>
      </c>
    </row>
    <row r="97" spans="1:5" x14ac:dyDescent="0.25">
      <c r="A97" t="s">
        <v>163</v>
      </c>
      <c r="E97" s="2">
        <f>IFERROR(VLOOKUP(A97,'2025 coop match data'!$A$4:$D$94,4,FALSE),"")</f>
        <v>0</v>
      </c>
    </row>
    <row r="98" spans="1:5" x14ac:dyDescent="0.25">
      <c r="A98" t="s">
        <v>164</v>
      </c>
      <c r="E98" s="2">
        <v>0</v>
      </c>
    </row>
    <row r="99" spans="1:5" x14ac:dyDescent="0.25">
      <c r="A99" t="s">
        <v>165</v>
      </c>
      <c r="D99" s="2">
        <v>10000</v>
      </c>
      <c r="E99" s="2">
        <f>IFERROR(VLOOKUP(A99,'2025 coop match data'!$A$4:$D$94,4,FALSE),"")</f>
        <v>10000</v>
      </c>
    </row>
    <row r="100" spans="1:5" x14ac:dyDescent="0.25">
      <c r="A100" t="s">
        <v>166</v>
      </c>
      <c r="D100" s="2">
        <f>5000+72</f>
        <v>5072</v>
      </c>
      <c r="E100" s="2">
        <f>IFERROR(VLOOKUP(A100,'2025 coop match data'!$A$4:$D$94,4,FALSE),"")</f>
        <v>17642</v>
      </c>
    </row>
    <row r="101" spans="1:5" x14ac:dyDescent="0.25">
      <c r="A101" t="s">
        <v>167</v>
      </c>
      <c r="D101" s="2">
        <v>1750</v>
      </c>
      <c r="E101" s="2">
        <v>0</v>
      </c>
    </row>
    <row r="102" spans="1:5" x14ac:dyDescent="0.25">
      <c r="A102" t="s">
        <v>168</v>
      </c>
      <c r="E102" s="2">
        <f>IFERROR(VLOOKUP(A102,'2025 coop match data'!$A$4:$D$94,4,FALSE),"")</f>
        <v>0</v>
      </c>
    </row>
    <row r="103" spans="1:5" x14ac:dyDescent="0.25">
      <c r="A103" t="s">
        <v>169</v>
      </c>
      <c r="E103" s="2">
        <f>IFERROR(VLOOKUP(A103,'2025 coop match data'!$A$4:$D$94,4,FALSE),"")</f>
        <v>0</v>
      </c>
    </row>
    <row r="104" spans="1:5" x14ac:dyDescent="0.25">
      <c r="A104" t="s">
        <v>170</v>
      </c>
      <c r="D104" s="2">
        <v>270780</v>
      </c>
      <c r="E104" s="2">
        <f>IFERROR(VLOOKUP(A104,'2025 coop match data'!$A$4:$D$94,4,FALSE),"")</f>
        <v>56752</v>
      </c>
    </row>
    <row r="105" spans="1:5" x14ac:dyDescent="0.25">
      <c r="A105" t="s">
        <v>171</v>
      </c>
      <c r="D105" s="2">
        <v>63037</v>
      </c>
      <c r="E105" s="2">
        <f>IFERROR(VLOOKUP(A105,'2025 coop match data'!$A$4:$D$94,4,FALSE),"")</f>
        <v>13212</v>
      </c>
    </row>
    <row r="106" spans="1:5" x14ac:dyDescent="0.25">
      <c r="A106" t="s">
        <v>172</v>
      </c>
      <c r="E106" s="2">
        <f>IFERROR(VLOOKUP(A106,'2025 coop match data'!$A$4:$D$94,4,FALSE),"")</f>
        <v>0</v>
      </c>
    </row>
    <row r="107" spans="1:5" x14ac:dyDescent="0.25">
      <c r="A107" t="s">
        <v>174</v>
      </c>
      <c r="E107" s="2">
        <f>IFERROR(VLOOKUP(A107,'2025 coop match data'!$A$4:$D$94,4,FALSE),"")</f>
        <v>0</v>
      </c>
    </row>
    <row r="108" spans="1:5" x14ac:dyDescent="0.25">
      <c r="A108" t="s">
        <v>173</v>
      </c>
      <c r="E108" s="2">
        <f>IFERROR(VLOOKUP(A108,'2025 coop match data'!$A$4:$D$94,4,FALSE),"")</f>
        <v>0</v>
      </c>
    </row>
    <row r="109" spans="1:5" x14ac:dyDescent="0.25">
      <c r="A109" t="s">
        <v>175</v>
      </c>
      <c r="D109" s="2">
        <v>28133</v>
      </c>
      <c r="E109" s="2">
        <f>28133+27500</f>
        <v>55633</v>
      </c>
    </row>
    <row r="110" spans="1:5" x14ac:dyDescent="0.25">
      <c r="A110" t="s">
        <v>176</v>
      </c>
      <c r="E110" s="2">
        <f>4000+16500+27500</f>
        <v>48000</v>
      </c>
    </row>
    <row r="111" spans="1:5" x14ac:dyDescent="0.25">
      <c r="A111" t="s">
        <v>177</v>
      </c>
      <c r="E111" s="2">
        <f>IFERROR(VLOOKUP(A111,'2025 coop match data'!$A$4:$D$94,4,FALSE),"")</f>
        <v>0</v>
      </c>
    </row>
    <row r="112" spans="1:5" x14ac:dyDescent="0.25">
      <c r="A112" t="s">
        <v>178</v>
      </c>
      <c r="D112" s="2">
        <v>58896</v>
      </c>
      <c r="E112" s="2">
        <v>55851</v>
      </c>
    </row>
    <row r="113" spans="1:5" x14ac:dyDescent="0.25">
      <c r="A113" t="s">
        <v>179</v>
      </c>
      <c r="E113" s="2">
        <f>IFERROR(VLOOKUP(A113,'2025 coop match data'!$A$4:$D$94,4,FALSE),"")</f>
        <v>60000</v>
      </c>
    </row>
    <row r="114" spans="1:5" x14ac:dyDescent="0.25">
      <c r="A114" t="s">
        <v>180</v>
      </c>
      <c r="D114" s="2">
        <v>5000</v>
      </c>
      <c r="E114" s="2">
        <f>IFERROR(VLOOKUP(A114,'2025 coop match data'!$A$4:$D$94,4,FALSE),"")</f>
        <v>0</v>
      </c>
    </row>
    <row r="115" spans="1:5" x14ac:dyDescent="0.25">
      <c r="A115" t="s">
        <v>181</v>
      </c>
      <c r="E115" s="2">
        <f>IFERROR(VLOOKUP(A115,'2025 coop match data'!$A$4:$D$94,4,FALSE),"")</f>
        <v>0</v>
      </c>
    </row>
    <row r="116" spans="1:5" x14ac:dyDescent="0.25">
      <c r="A116" t="s">
        <v>182</v>
      </c>
      <c r="E116" s="2">
        <v>0</v>
      </c>
    </row>
    <row r="117" spans="1:5" x14ac:dyDescent="0.25">
      <c r="A117" t="s">
        <v>183</v>
      </c>
      <c r="E117" s="2">
        <f>IFERROR(VLOOKUP(A117,'2025 coop match data'!$A$4:$D$94,4,FALSE),"")</f>
        <v>60056</v>
      </c>
    </row>
    <row r="118" spans="1:5" x14ac:dyDescent="0.25">
      <c r="A118" t="s">
        <v>184</v>
      </c>
      <c r="E118" s="2">
        <v>0</v>
      </c>
    </row>
    <row r="119" spans="1:5" x14ac:dyDescent="0.25">
      <c r="A119" t="s">
        <v>185</v>
      </c>
      <c r="E119" s="2">
        <f>IFERROR(VLOOKUP(A119,'2025 coop match data'!$A$4:$D$94,4,FALSE),"")</f>
        <v>0</v>
      </c>
    </row>
    <row r="120" spans="1:5" x14ac:dyDescent="0.25">
      <c r="A120" t="s">
        <v>186</v>
      </c>
      <c r="D120" s="2">
        <v>7514</v>
      </c>
      <c r="E120" s="2">
        <f>IFERROR(VLOOKUP(A120,'2025 coop match data'!$A$4:$D$94,4,FALSE),"")</f>
        <v>65165</v>
      </c>
    </row>
    <row r="121" spans="1:5" x14ac:dyDescent="0.25">
      <c r="A121" t="s">
        <v>187</v>
      </c>
      <c r="D121" s="2">
        <v>5000</v>
      </c>
      <c r="E121" s="2">
        <v>0</v>
      </c>
    </row>
    <row r="122" spans="1:5" x14ac:dyDescent="0.25">
      <c r="A122" t="s">
        <v>188</v>
      </c>
      <c r="D122" s="2">
        <v>55076</v>
      </c>
      <c r="E122" s="2">
        <f>IFERROR(VLOOKUP(A122,'2025 coop match data'!$A$4:$D$94,4,FALSE),"")</f>
        <v>10000</v>
      </c>
    </row>
    <row r="123" spans="1:5" x14ac:dyDescent="0.25">
      <c r="A123" t="s">
        <v>189</v>
      </c>
      <c r="E123" s="2">
        <f>IFERROR(VLOOKUP(A123,'2025 coop match data'!$A$4:$D$94,4,FALSE),"")</f>
        <v>0</v>
      </c>
    </row>
    <row r="124" spans="1:5" x14ac:dyDescent="0.25">
      <c r="A124" t="s">
        <v>190</v>
      </c>
      <c r="E124" s="2">
        <v>0</v>
      </c>
    </row>
    <row r="125" spans="1:5" x14ac:dyDescent="0.25">
      <c r="A125" t="s">
        <v>12</v>
      </c>
      <c r="E125" s="2">
        <f>IFERROR(VLOOKUP(A125,'2025 coop match data'!$A$4:$D$94,4,FALSE),"")</f>
        <v>0</v>
      </c>
    </row>
    <row r="126" spans="1:5" x14ac:dyDescent="0.25">
      <c r="A126" t="s">
        <v>191</v>
      </c>
      <c r="D126" s="2">
        <v>10000</v>
      </c>
      <c r="E126" s="2">
        <f>IFERROR(VLOOKUP(A126,'2025 coop match data'!$A$4:$D$94,4,FALSE),"")</f>
        <v>10000</v>
      </c>
    </row>
    <row r="127" spans="1:5" x14ac:dyDescent="0.25">
      <c r="A127" t="s">
        <v>192</v>
      </c>
      <c r="D127" s="2">
        <v>5000</v>
      </c>
      <c r="E127" s="2">
        <v>0</v>
      </c>
    </row>
    <row r="128" spans="1:5" x14ac:dyDescent="0.25">
      <c r="A128" t="s">
        <v>193</v>
      </c>
      <c r="C128" s="2"/>
      <c r="E128" s="2">
        <f>IFERROR(VLOOKUP(A128,'2025 coop match data'!$A$4:$D$94,4,FALSE),"")</f>
        <v>16280</v>
      </c>
    </row>
    <row r="129" spans="1:5" x14ac:dyDescent="0.25">
      <c r="A129" t="s">
        <v>194</v>
      </c>
      <c r="D129" s="2">
        <v>5000</v>
      </c>
      <c r="E129" s="2">
        <v>0</v>
      </c>
    </row>
    <row r="130" spans="1:5" x14ac:dyDescent="0.25">
      <c r="A130" t="s">
        <v>195</v>
      </c>
      <c r="E130" s="2">
        <f>IFERROR(VLOOKUP(A130,'2025 coop match data'!$A$4:$D$94,4,FALSE),"")</f>
        <v>0</v>
      </c>
    </row>
    <row r="131" spans="1:5" x14ac:dyDescent="0.25">
      <c r="A131" t="s">
        <v>196</v>
      </c>
      <c r="E131" s="2">
        <f>IFERROR(VLOOKUP(A131,'2025 coop match data'!$A$4:$D$94,4,FALSE),"")</f>
        <v>0</v>
      </c>
    </row>
    <row r="132" spans="1:5" x14ac:dyDescent="0.25">
      <c r="A132" t="s">
        <v>197</v>
      </c>
      <c r="E132" s="2">
        <f>IFERROR(VLOOKUP(A132,'2025 coop match data'!$A$4:$D$94,4,FALSE),"")</f>
        <v>0</v>
      </c>
    </row>
    <row r="133" spans="1:5" x14ac:dyDescent="0.25">
      <c r="A133" t="s">
        <v>198</v>
      </c>
      <c r="E133" s="2">
        <f>IFERROR(VLOOKUP(A133,'2025 coop match data'!$A$4:$D$94,4,FALSE),"")</f>
        <v>0</v>
      </c>
    </row>
    <row r="134" spans="1:5" x14ac:dyDescent="0.25">
      <c r="A134" t="s">
        <v>199</v>
      </c>
      <c r="E134" s="2">
        <f>IFERROR(VLOOKUP(A134,'2025 coop match data'!$A$4:$D$94,4,FALSE),"")</f>
        <v>47361</v>
      </c>
    </row>
    <row r="135" spans="1:5" x14ac:dyDescent="0.25">
      <c r="A135" t="s">
        <v>200</v>
      </c>
      <c r="E135" s="2">
        <f>IFERROR(VLOOKUP(A135,'2025 coop match data'!$A$4:$D$94,4,FALSE),"")</f>
        <v>0</v>
      </c>
    </row>
  </sheetData>
  <conditionalFormatting sqref="A111">
    <cfRule type="duplicateValues" dxfId="3" priority="1"/>
  </conditionalFormatting>
  <conditionalFormatting sqref="A1:B2 C2:S2 E1:F1 I1:J1 M1:N1 Q1:R1 A136:B1048576 A3:A110 A112:A135">
    <cfRule type="duplicateValues" dxfId="2" priority="3"/>
  </conditionalFormatting>
  <conditionalFormatting sqref="B3:B135">
    <cfRule type="duplicateValues" dxfId="1"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8A6E-D310-4AA3-84AB-501FEA52077C}">
  <dimension ref="A3:D95"/>
  <sheetViews>
    <sheetView workbookViewId="0">
      <selection activeCell="P30" sqref="P30"/>
    </sheetView>
  </sheetViews>
  <sheetFormatPr defaultRowHeight="15" x14ac:dyDescent="0.25"/>
  <cols>
    <col min="1" max="1" width="23" bestFit="1" customWidth="1"/>
    <col min="2" max="2" width="28.42578125" style="2" bestFit="1" customWidth="1"/>
    <col min="3" max="3" width="26.140625" style="2" bestFit="1" customWidth="1"/>
    <col min="4" max="4" width="20.5703125" style="2" bestFit="1" customWidth="1"/>
  </cols>
  <sheetData>
    <row r="3" spans="1:4" x14ac:dyDescent="0.25">
      <c r="A3" s="190" t="s">
        <v>380</v>
      </c>
      <c r="B3" s="2" t="s">
        <v>381</v>
      </c>
      <c r="C3" s="2" t="s">
        <v>382</v>
      </c>
      <c r="D3" s="2" t="s">
        <v>383</v>
      </c>
    </row>
    <row r="4" spans="1:4" x14ac:dyDescent="0.25">
      <c r="A4" s="152" t="s">
        <v>53</v>
      </c>
      <c r="B4" s="2">
        <v>10982</v>
      </c>
      <c r="C4" s="2">
        <v>0</v>
      </c>
      <c r="D4" s="2">
        <v>37079</v>
      </c>
    </row>
    <row r="5" spans="1:4" x14ac:dyDescent="0.25">
      <c r="A5" s="152" t="s">
        <v>54</v>
      </c>
      <c r="B5" s="2">
        <v>5000</v>
      </c>
      <c r="C5" s="2">
        <v>0</v>
      </c>
      <c r="D5" s="2">
        <v>30000</v>
      </c>
    </row>
    <row r="6" spans="1:4" x14ac:dyDescent="0.25">
      <c r="A6" s="152" t="s">
        <v>56</v>
      </c>
      <c r="B6" s="2">
        <v>0</v>
      </c>
      <c r="C6" s="2">
        <v>0</v>
      </c>
      <c r="D6" s="2">
        <v>12000</v>
      </c>
    </row>
    <row r="7" spans="1:4" x14ac:dyDescent="0.25">
      <c r="A7" s="152" t="s">
        <v>58</v>
      </c>
      <c r="B7" s="2">
        <v>28995</v>
      </c>
      <c r="C7" s="2">
        <v>7248</v>
      </c>
      <c r="D7" s="2">
        <v>89112</v>
      </c>
    </row>
    <row r="8" spans="1:4" x14ac:dyDescent="0.25">
      <c r="A8" s="152" t="s">
        <v>11</v>
      </c>
      <c r="B8" s="2">
        <v>0</v>
      </c>
      <c r="C8" s="2">
        <v>0</v>
      </c>
      <c r="D8" s="2">
        <v>0</v>
      </c>
    </row>
    <row r="9" spans="1:4" x14ac:dyDescent="0.25">
      <c r="A9" s="152" t="s">
        <v>73</v>
      </c>
      <c r="B9" s="2">
        <v>0</v>
      </c>
      <c r="C9" s="2">
        <v>0</v>
      </c>
      <c r="D9" s="2">
        <v>0</v>
      </c>
    </row>
    <row r="10" spans="1:4" x14ac:dyDescent="0.25">
      <c r="A10" s="152" t="s">
        <v>77</v>
      </c>
      <c r="B10" s="2">
        <v>0</v>
      </c>
      <c r="C10" s="2">
        <v>0</v>
      </c>
      <c r="D10" s="2">
        <v>28396</v>
      </c>
    </row>
    <row r="11" spans="1:4" x14ac:dyDescent="0.25">
      <c r="A11" s="152" t="s">
        <v>85</v>
      </c>
      <c r="B11" s="2">
        <v>3352</v>
      </c>
      <c r="C11" s="2">
        <v>838</v>
      </c>
      <c r="D11" s="2">
        <v>0</v>
      </c>
    </row>
    <row r="12" spans="1:4" x14ac:dyDescent="0.25">
      <c r="A12" s="152" t="s">
        <v>87</v>
      </c>
      <c r="B12" s="2">
        <v>0</v>
      </c>
      <c r="C12" s="2">
        <v>0</v>
      </c>
      <c r="D12" s="2">
        <v>0</v>
      </c>
    </row>
    <row r="13" spans="1:4" x14ac:dyDescent="0.25">
      <c r="A13" s="152" t="s">
        <v>89</v>
      </c>
      <c r="B13" s="2">
        <v>17290</v>
      </c>
      <c r="C13" s="2">
        <v>0</v>
      </c>
      <c r="D13" s="2">
        <v>0</v>
      </c>
    </row>
    <row r="14" spans="1:4" x14ac:dyDescent="0.25">
      <c r="A14" s="152" t="s">
        <v>90</v>
      </c>
      <c r="B14" s="2">
        <v>0</v>
      </c>
      <c r="C14" s="2">
        <v>0</v>
      </c>
      <c r="D14" s="2">
        <v>58658</v>
      </c>
    </row>
    <row r="15" spans="1:4" x14ac:dyDescent="0.25">
      <c r="A15" s="152" t="s">
        <v>91</v>
      </c>
      <c r="B15" s="2">
        <v>0</v>
      </c>
      <c r="C15" s="2">
        <v>0</v>
      </c>
      <c r="D15" s="2">
        <v>50000</v>
      </c>
    </row>
    <row r="16" spans="1:4" x14ac:dyDescent="0.25">
      <c r="A16" s="152" t="s">
        <v>93</v>
      </c>
      <c r="B16" s="2">
        <v>0</v>
      </c>
      <c r="C16" s="2">
        <v>0</v>
      </c>
      <c r="D16" s="2">
        <v>20000</v>
      </c>
    </row>
    <row r="17" spans="1:4" x14ac:dyDescent="0.25">
      <c r="A17" s="152" t="s">
        <v>94</v>
      </c>
      <c r="B17" s="2">
        <v>0</v>
      </c>
      <c r="C17" s="2">
        <v>0</v>
      </c>
      <c r="D17" s="2">
        <v>10000</v>
      </c>
    </row>
    <row r="18" spans="1:4" x14ac:dyDescent="0.25">
      <c r="A18" s="152" t="s">
        <v>95</v>
      </c>
      <c r="B18" s="2">
        <v>73592</v>
      </c>
      <c r="C18" s="2">
        <v>0</v>
      </c>
      <c r="D18" s="2">
        <v>0</v>
      </c>
    </row>
    <row r="19" spans="1:4" x14ac:dyDescent="0.25">
      <c r="A19" s="152" t="s">
        <v>96</v>
      </c>
      <c r="B19" s="2">
        <v>0</v>
      </c>
      <c r="C19" s="2">
        <v>0</v>
      </c>
      <c r="D19" s="2">
        <v>0</v>
      </c>
    </row>
    <row r="20" spans="1:4" x14ac:dyDescent="0.25">
      <c r="A20" s="152" t="s">
        <v>97</v>
      </c>
      <c r="B20" s="2">
        <v>5946</v>
      </c>
      <c r="C20" s="2">
        <v>0</v>
      </c>
      <c r="D20" s="2">
        <v>18654</v>
      </c>
    </row>
    <row r="21" spans="1:4" x14ac:dyDescent="0.25">
      <c r="A21" s="152" t="s">
        <v>98</v>
      </c>
      <c r="B21" s="2">
        <v>13612</v>
      </c>
      <c r="C21" s="2">
        <v>3403</v>
      </c>
      <c r="D21" s="2">
        <v>41836</v>
      </c>
    </row>
    <row r="22" spans="1:4" x14ac:dyDescent="0.25">
      <c r="A22" s="152" t="s">
        <v>100</v>
      </c>
      <c r="B22" s="2">
        <v>0</v>
      </c>
      <c r="C22" s="2">
        <v>0</v>
      </c>
      <c r="D22" s="2">
        <v>0</v>
      </c>
    </row>
    <row r="23" spans="1:4" x14ac:dyDescent="0.25">
      <c r="A23" s="152" t="s">
        <v>102</v>
      </c>
      <c r="B23" s="2">
        <v>0</v>
      </c>
      <c r="C23" s="2">
        <v>0</v>
      </c>
      <c r="D23" s="2">
        <v>0</v>
      </c>
    </row>
    <row r="24" spans="1:4" x14ac:dyDescent="0.25">
      <c r="A24" s="152" t="s">
        <v>103</v>
      </c>
      <c r="B24" s="2">
        <v>0</v>
      </c>
      <c r="C24" s="2">
        <v>0</v>
      </c>
      <c r="D24" s="2">
        <v>74618</v>
      </c>
    </row>
    <row r="25" spans="1:4" x14ac:dyDescent="0.25">
      <c r="A25" s="152" t="s">
        <v>36</v>
      </c>
      <c r="B25" s="2">
        <v>0</v>
      </c>
      <c r="C25" s="2">
        <v>0</v>
      </c>
      <c r="D25" s="2">
        <v>0</v>
      </c>
    </row>
    <row r="26" spans="1:4" x14ac:dyDescent="0.25">
      <c r="A26" s="152" t="s">
        <v>109</v>
      </c>
      <c r="B26" s="2">
        <v>0</v>
      </c>
      <c r="C26" s="2">
        <v>0</v>
      </c>
      <c r="D26" s="2">
        <v>0</v>
      </c>
    </row>
    <row r="27" spans="1:4" x14ac:dyDescent="0.25">
      <c r="A27" s="152" t="s">
        <v>110</v>
      </c>
      <c r="B27" s="2">
        <v>3570</v>
      </c>
      <c r="C27" s="2">
        <v>892</v>
      </c>
      <c r="D27" s="2">
        <v>9735</v>
      </c>
    </row>
    <row r="28" spans="1:4" x14ac:dyDescent="0.25">
      <c r="A28" s="152" t="s">
        <v>111</v>
      </c>
      <c r="B28" s="2">
        <v>0</v>
      </c>
      <c r="C28" s="2">
        <v>0</v>
      </c>
      <c r="D28" s="2">
        <v>5000</v>
      </c>
    </row>
    <row r="29" spans="1:4" x14ac:dyDescent="0.25">
      <c r="A29" s="152" t="s">
        <v>113</v>
      </c>
      <c r="B29" s="2">
        <v>0</v>
      </c>
      <c r="C29" s="2">
        <v>0</v>
      </c>
      <c r="D29" s="2">
        <v>0</v>
      </c>
    </row>
    <row r="30" spans="1:4" x14ac:dyDescent="0.25">
      <c r="A30" s="152" t="s">
        <v>114</v>
      </c>
      <c r="B30" s="2">
        <v>0</v>
      </c>
      <c r="C30" s="2">
        <v>0</v>
      </c>
      <c r="D30" s="2">
        <v>0</v>
      </c>
    </row>
    <row r="31" spans="1:4" x14ac:dyDescent="0.25">
      <c r="A31" s="152" t="s">
        <v>115</v>
      </c>
      <c r="B31" s="2">
        <v>24002</v>
      </c>
      <c r="C31" s="2">
        <v>13048</v>
      </c>
      <c r="D31" s="2">
        <v>0</v>
      </c>
    </row>
    <row r="32" spans="1:4" x14ac:dyDescent="0.25">
      <c r="A32" s="152" t="s">
        <v>116</v>
      </c>
      <c r="B32" s="2">
        <v>0</v>
      </c>
      <c r="C32" s="2">
        <v>0</v>
      </c>
      <c r="D32" s="2">
        <v>21162</v>
      </c>
    </row>
    <row r="33" spans="1:4" x14ac:dyDescent="0.25">
      <c r="A33" s="152" t="s">
        <v>117</v>
      </c>
      <c r="B33" s="2">
        <v>8022</v>
      </c>
      <c r="C33" s="2">
        <v>2005</v>
      </c>
      <c r="D33" s="2">
        <v>126265</v>
      </c>
    </row>
    <row r="34" spans="1:4" x14ac:dyDescent="0.25">
      <c r="A34" s="152" t="s">
        <v>118</v>
      </c>
      <c r="B34" s="2">
        <v>0</v>
      </c>
      <c r="C34" s="2">
        <v>0</v>
      </c>
      <c r="D34" s="2">
        <v>20000</v>
      </c>
    </row>
    <row r="35" spans="1:4" x14ac:dyDescent="0.25">
      <c r="A35" s="152" t="s">
        <v>120</v>
      </c>
      <c r="B35" s="2">
        <v>0</v>
      </c>
      <c r="C35" s="2">
        <v>0</v>
      </c>
      <c r="D35" s="2">
        <v>10000</v>
      </c>
    </row>
    <row r="36" spans="1:4" x14ac:dyDescent="0.25">
      <c r="A36" s="152" t="s">
        <v>121</v>
      </c>
      <c r="B36" s="2">
        <v>0</v>
      </c>
      <c r="C36" s="2">
        <v>0</v>
      </c>
      <c r="D36" s="2">
        <v>0</v>
      </c>
    </row>
    <row r="37" spans="1:4" x14ac:dyDescent="0.25">
      <c r="A37" s="152" t="s">
        <v>124</v>
      </c>
      <c r="B37" s="2">
        <v>60000</v>
      </c>
      <c r="C37" s="2">
        <v>9000</v>
      </c>
      <c r="D37" s="2">
        <v>0</v>
      </c>
    </row>
    <row r="38" spans="1:4" x14ac:dyDescent="0.25">
      <c r="A38" s="152" t="s">
        <v>125</v>
      </c>
      <c r="B38" s="2">
        <v>3000</v>
      </c>
      <c r="C38" s="2">
        <v>0</v>
      </c>
      <c r="D38" s="2">
        <v>0</v>
      </c>
    </row>
    <row r="39" spans="1:4" x14ac:dyDescent="0.25">
      <c r="A39" s="152" t="s">
        <v>126</v>
      </c>
      <c r="B39" s="2">
        <v>0</v>
      </c>
      <c r="C39" s="2">
        <v>0</v>
      </c>
      <c r="D39" s="2">
        <v>12821</v>
      </c>
    </row>
    <row r="40" spans="1:4" x14ac:dyDescent="0.25">
      <c r="A40" s="152" t="s">
        <v>127</v>
      </c>
      <c r="B40" s="2">
        <v>5000</v>
      </c>
      <c r="C40" s="2">
        <v>0</v>
      </c>
      <c r="D40" s="2">
        <v>50000</v>
      </c>
    </row>
    <row r="41" spans="1:4" x14ac:dyDescent="0.25">
      <c r="A41" s="152" t="s">
        <v>128</v>
      </c>
      <c r="B41" s="2">
        <v>0</v>
      </c>
      <c r="C41" s="2">
        <v>0</v>
      </c>
      <c r="D41" s="2">
        <v>0</v>
      </c>
    </row>
    <row r="42" spans="1:4" x14ac:dyDescent="0.25">
      <c r="A42" s="152" t="s">
        <v>132</v>
      </c>
      <c r="B42" s="2">
        <v>71305</v>
      </c>
      <c r="C42" s="2">
        <v>17826</v>
      </c>
      <c r="D42" s="2">
        <v>0</v>
      </c>
    </row>
    <row r="43" spans="1:4" x14ac:dyDescent="0.25">
      <c r="A43" s="152" t="s">
        <v>134</v>
      </c>
      <c r="B43" s="2">
        <v>19424</v>
      </c>
      <c r="C43" s="2">
        <v>2806</v>
      </c>
      <c r="D43" s="2">
        <v>0</v>
      </c>
    </row>
    <row r="44" spans="1:4" x14ac:dyDescent="0.25">
      <c r="A44" s="152" t="s">
        <v>137</v>
      </c>
      <c r="B44" s="2">
        <v>19899</v>
      </c>
      <c r="C44" s="2">
        <v>0</v>
      </c>
      <c r="D44" s="2">
        <v>2500</v>
      </c>
    </row>
    <row r="45" spans="1:4" x14ac:dyDescent="0.25">
      <c r="A45" s="152" t="s">
        <v>138</v>
      </c>
      <c r="B45" s="2">
        <v>3997</v>
      </c>
      <c r="C45" s="2">
        <v>999</v>
      </c>
      <c r="D45" s="2">
        <v>0</v>
      </c>
    </row>
    <row r="46" spans="1:4" x14ac:dyDescent="0.25">
      <c r="A46" s="152" t="s">
        <v>139</v>
      </c>
      <c r="B46" s="2">
        <v>0</v>
      </c>
      <c r="C46" s="2">
        <v>0</v>
      </c>
      <c r="D46" s="2">
        <v>0</v>
      </c>
    </row>
    <row r="47" spans="1:4" x14ac:dyDescent="0.25">
      <c r="A47" s="152" t="s">
        <v>140</v>
      </c>
      <c r="B47" s="2">
        <v>0</v>
      </c>
      <c r="C47" s="2">
        <v>0</v>
      </c>
      <c r="D47" s="2">
        <v>0</v>
      </c>
    </row>
    <row r="48" spans="1:4" x14ac:dyDescent="0.25">
      <c r="A48" s="152" t="s">
        <v>142</v>
      </c>
      <c r="B48" s="2">
        <v>0</v>
      </c>
      <c r="C48" s="2">
        <v>0</v>
      </c>
      <c r="D48" s="2">
        <v>0</v>
      </c>
    </row>
    <row r="49" spans="1:4" x14ac:dyDescent="0.25">
      <c r="A49" s="152" t="s">
        <v>143</v>
      </c>
      <c r="B49" s="2">
        <v>0</v>
      </c>
      <c r="C49" s="2">
        <v>0</v>
      </c>
      <c r="D49" s="2">
        <v>5000</v>
      </c>
    </row>
    <row r="50" spans="1:4" x14ac:dyDescent="0.25">
      <c r="A50" s="152" t="s">
        <v>144</v>
      </c>
      <c r="B50" s="2">
        <v>0</v>
      </c>
      <c r="C50" s="2">
        <v>0</v>
      </c>
      <c r="D50" s="2">
        <v>0</v>
      </c>
    </row>
    <row r="51" spans="1:4" x14ac:dyDescent="0.25">
      <c r="A51" s="152" t="s">
        <v>145</v>
      </c>
      <c r="B51" s="2">
        <v>0</v>
      </c>
      <c r="C51" s="2">
        <v>0</v>
      </c>
      <c r="D51" s="2">
        <v>0</v>
      </c>
    </row>
    <row r="52" spans="1:4" x14ac:dyDescent="0.25">
      <c r="A52" s="152" t="s">
        <v>146</v>
      </c>
      <c r="B52" s="2">
        <v>0</v>
      </c>
      <c r="C52" s="2">
        <v>0</v>
      </c>
      <c r="D52" s="2">
        <v>0</v>
      </c>
    </row>
    <row r="53" spans="1:4" x14ac:dyDescent="0.25">
      <c r="A53" s="152" t="s">
        <v>150</v>
      </c>
      <c r="B53" s="2">
        <v>23633</v>
      </c>
      <c r="C53" s="2">
        <v>5908</v>
      </c>
      <c r="D53" s="2">
        <v>64455</v>
      </c>
    </row>
    <row r="54" spans="1:4" x14ac:dyDescent="0.25">
      <c r="A54" s="152" t="s">
        <v>151</v>
      </c>
      <c r="B54" s="2">
        <v>0</v>
      </c>
      <c r="C54" s="2">
        <v>0</v>
      </c>
      <c r="D54" s="2">
        <v>5000</v>
      </c>
    </row>
    <row r="55" spans="1:4" x14ac:dyDescent="0.25">
      <c r="A55" s="152" t="s">
        <v>152</v>
      </c>
      <c r="B55" s="2">
        <v>0</v>
      </c>
      <c r="C55" s="2">
        <v>0</v>
      </c>
      <c r="D55" s="2">
        <v>5000</v>
      </c>
    </row>
    <row r="56" spans="1:4" x14ac:dyDescent="0.25">
      <c r="A56" s="152" t="s">
        <v>153</v>
      </c>
      <c r="B56" s="2">
        <v>80000</v>
      </c>
      <c r="C56" s="2">
        <v>20000</v>
      </c>
      <c r="D56" s="2">
        <v>0</v>
      </c>
    </row>
    <row r="57" spans="1:4" x14ac:dyDescent="0.25">
      <c r="A57" s="152" t="s">
        <v>154</v>
      </c>
      <c r="B57" s="2">
        <v>0</v>
      </c>
      <c r="C57" s="2">
        <v>0</v>
      </c>
      <c r="D57" s="2">
        <v>10000</v>
      </c>
    </row>
    <row r="58" spans="1:4" x14ac:dyDescent="0.25">
      <c r="A58" s="152" t="s">
        <v>155</v>
      </c>
      <c r="B58" s="2">
        <v>9239</v>
      </c>
      <c r="C58" s="2">
        <v>0</v>
      </c>
      <c r="D58" s="2">
        <v>9239</v>
      </c>
    </row>
    <row r="59" spans="1:4" x14ac:dyDescent="0.25">
      <c r="A59" s="152" t="s">
        <v>156</v>
      </c>
      <c r="B59" s="2">
        <v>0</v>
      </c>
      <c r="C59" s="2">
        <v>0</v>
      </c>
      <c r="D59" s="2">
        <v>0</v>
      </c>
    </row>
    <row r="60" spans="1:4" x14ac:dyDescent="0.25">
      <c r="A60" s="152" t="s">
        <v>157</v>
      </c>
      <c r="B60" s="2">
        <v>3944</v>
      </c>
      <c r="C60" s="2">
        <v>0</v>
      </c>
      <c r="D60" s="2">
        <v>0</v>
      </c>
    </row>
    <row r="61" spans="1:4" x14ac:dyDescent="0.25">
      <c r="A61" s="152" t="s">
        <v>159</v>
      </c>
      <c r="B61" s="2">
        <v>0</v>
      </c>
      <c r="C61" s="2">
        <v>0</v>
      </c>
      <c r="D61" s="2">
        <v>5000</v>
      </c>
    </row>
    <row r="62" spans="1:4" x14ac:dyDescent="0.25">
      <c r="A62" s="152" t="s">
        <v>161</v>
      </c>
      <c r="B62" s="2">
        <v>0</v>
      </c>
      <c r="C62" s="2">
        <v>0</v>
      </c>
      <c r="D62" s="2">
        <v>0</v>
      </c>
    </row>
    <row r="63" spans="1:4" x14ac:dyDescent="0.25">
      <c r="A63" s="152" t="s">
        <v>162</v>
      </c>
      <c r="B63" s="2">
        <v>22149</v>
      </c>
      <c r="C63" s="2">
        <v>0</v>
      </c>
      <c r="D63" s="2">
        <v>632</v>
      </c>
    </row>
    <row r="64" spans="1:4" x14ac:dyDescent="0.25">
      <c r="A64" s="152" t="s">
        <v>163</v>
      </c>
      <c r="B64" s="2">
        <v>0</v>
      </c>
      <c r="C64" s="2">
        <v>0</v>
      </c>
      <c r="D64" s="2">
        <v>0</v>
      </c>
    </row>
    <row r="65" spans="1:4" x14ac:dyDescent="0.25">
      <c r="A65" s="152" t="s">
        <v>165</v>
      </c>
      <c r="B65" s="2">
        <v>0</v>
      </c>
      <c r="C65" s="2">
        <v>0</v>
      </c>
      <c r="D65" s="2">
        <v>10000</v>
      </c>
    </row>
    <row r="66" spans="1:4" x14ac:dyDescent="0.25">
      <c r="A66" s="152" t="s">
        <v>166</v>
      </c>
      <c r="B66" s="2">
        <v>5139</v>
      </c>
      <c r="C66" s="2">
        <v>0</v>
      </c>
      <c r="D66" s="2">
        <v>17642</v>
      </c>
    </row>
    <row r="67" spans="1:4" x14ac:dyDescent="0.25">
      <c r="A67" s="152" t="s">
        <v>168</v>
      </c>
      <c r="B67" s="2">
        <v>0</v>
      </c>
      <c r="C67" s="2">
        <v>0</v>
      </c>
      <c r="D67" s="2">
        <v>0</v>
      </c>
    </row>
    <row r="68" spans="1:4" x14ac:dyDescent="0.25">
      <c r="A68" s="152" t="s">
        <v>169</v>
      </c>
      <c r="B68" s="2">
        <v>0</v>
      </c>
      <c r="C68" s="2">
        <v>0</v>
      </c>
      <c r="D68" s="2">
        <v>0</v>
      </c>
    </row>
    <row r="69" spans="1:4" x14ac:dyDescent="0.25">
      <c r="A69" s="152" t="s">
        <v>170</v>
      </c>
      <c r="B69" s="2">
        <v>20809</v>
      </c>
      <c r="C69" s="2">
        <v>5202</v>
      </c>
      <c r="D69" s="2">
        <v>56752</v>
      </c>
    </row>
    <row r="70" spans="1:4" x14ac:dyDescent="0.25">
      <c r="A70" s="152" t="s">
        <v>171</v>
      </c>
      <c r="B70" s="2">
        <v>4844</v>
      </c>
      <c r="C70" s="2">
        <v>1211</v>
      </c>
      <c r="D70" s="2">
        <v>13212</v>
      </c>
    </row>
    <row r="71" spans="1:4" x14ac:dyDescent="0.25">
      <c r="A71" s="152" t="s">
        <v>172</v>
      </c>
      <c r="B71" s="2">
        <v>0</v>
      </c>
      <c r="C71" s="2">
        <v>0</v>
      </c>
      <c r="D71" s="2">
        <v>0</v>
      </c>
    </row>
    <row r="72" spans="1:4" x14ac:dyDescent="0.25">
      <c r="A72" s="152" t="s">
        <v>174</v>
      </c>
      <c r="B72" s="2">
        <v>8000</v>
      </c>
      <c r="C72" s="2">
        <v>0</v>
      </c>
      <c r="D72" s="2">
        <v>0</v>
      </c>
    </row>
    <row r="73" spans="1:4" x14ac:dyDescent="0.25">
      <c r="A73" s="152" t="s">
        <v>173</v>
      </c>
      <c r="B73" s="2">
        <v>0</v>
      </c>
      <c r="C73" s="2">
        <v>0</v>
      </c>
      <c r="D73" s="2">
        <v>0</v>
      </c>
    </row>
    <row r="74" spans="1:4" x14ac:dyDescent="0.25">
      <c r="A74" s="152" t="s">
        <v>175</v>
      </c>
      <c r="B74" s="2">
        <v>0</v>
      </c>
      <c r="C74" s="2">
        <v>0</v>
      </c>
      <c r="D74" s="2">
        <v>27500</v>
      </c>
    </row>
    <row r="75" spans="1:4" x14ac:dyDescent="0.25">
      <c r="A75" s="152" t="s">
        <v>176</v>
      </c>
      <c r="B75" s="2">
        <v>0</v>
      </c>
      <c r="C75" s="2">
        <v>0</v>
      </c>
      <c r="D75" s="2">
        <v>27500</v>
      </c>
    </row>
    <row r="76" spans="1:4" x14ac:dyDescent="0.25">
      <c r="A76" s="152" t="s">
        <v>177</v>
      </c>
      <c r="B76" s="2">
        <v>31989</v>
      </c>
      <c r="C76" s="2">
        <v>7997</v>
      </c>
      <c r="D76" s="2">
        <v>0</v>
      </c>
    </row>
    <row r="77" spans="1:4" x14ac:dyDescent="0.25">
      <c r="A77" s="152" t="s">
        <v>178</v>
      </c>
      <c r="B77" s="2">
        <v>12821</v>
      </c>
      <c r="C77" s="2">
        <v>0</v>
      </c>
      <c r="D77" s="2">
        <v>0</v>
      </c>
    </row>
    <row r="78" spans="1:4" x14ac:dyDescent="0.25">
      <c r="A78" s="152" t="s">
        <v>179</v>
      </c>
      <c r="B78" s="2">
        <v>0</v>
      </c>
      <c r="C78" s="2">
        <v>0</v>
      </c>
      <c r="D78" s="2">
        <v>60000</v>
      </c>
    </row>
    <row r="79" spans="1:4" x14ac:dyDescent="0.25">
      <c r="A79" s="152" t="s">
        <v>180</v>
      </c>
      <c r="B79" s="2">
        <v>0</v>
      </c>
      <c r="C79" s="2">
        <v>0</v>
      </c>
      <c r="D79" s="2">
        <v>0</v>
      </c>
    </row>
    <row r="80" spans="1:4" x14ac:dyDescent="0.25">
      <c r="A80" s="152" t="s">
        <v>181</v>
      </c>
      <c r="B80" s="2">
        <v>15054</v>
      </c>
      <c r="C80" s="2">
        <v>0</v>
      </c>
      <c r="D80" s="2">
        <v>0</v>
      </c>
    </row>
    <row r="81" spans="1:4" x14ac:dyDescent="0.25">
      <c r="A81" s="152" t="s">
        <v>183</v>
      </c>
      <c r="B81" s="2">
        <v>0</v>
      </c>
      <c r="C81" s="2">
        <v>0</v>
      </c>
      <c r="D81" s="2">
        <v>60056</v>
      </c>
    </row>
    <row r="82" spans="1:4" x14ac:dyDescent="0.25">
      <c r="A82" s="152" t="s">
        <v>185</v>
      </c>
      <c r="B82" s="2">
        <v>43168</v>
      </c>
      <c r="C82" s="2">
        <v>48222</v>
      </c>
      <c r="D82" s="2">
        <v>0</v>
      </c>
    </row>
    <row r="83" spans="1:4" x14ac:dyDescent="0.25">
      <c r="A83" s="152" t="s">
        <v>186</v>
      </c>
      <c r="B83" s="2">
        <v>11100</v>
      </c>
      <c r="C83" s="2">
        <v>2775</v>
      </c>
      <c r="D83" s="2">
        <v>65165</v>
      </c>
    </row>
    <row r="84" spans="1:4" x14ac:dyDescent="0.25">
      <c r="A84" s="152" t="s">
        <v>188</v>
      </c>
      <c r="B84" s="2">
        <v>0</v>
      </c>
      <c r="C84" s="2">
        <v>0</v>
      </c>
      <c r="D84" s="2">
        <v>10000</v>
      </c>
    </row>
    <row r="85" spans="1:4" x14ac:dyDescent="0.25">
      <c r="A85" s="152" t="s">
        <v>189</v>
      </c>
      <c r="B85" s="2">
        <v>0</v>
      </c>
      <c r="C85" s="2">
        <v>0</v>
      </c>
      <c r="D85" s="2">
        <v>0</v>
      </c>
    </row>
    <row r="86" spans="1:4" x14ac:dyDescent="0.25">
      <c r="A86" s="152" t="s">
        <v>12</v>
      </c>
      <c r="B86" s="2">
        <v>75000</v>
      </c>
      <c r="C86" s="2">
        <v>0</v>
      </c>
      <c r="D86" s="2">
        <v>0</v>
      </c>
    </row>
    <row r="87" spans="1:4" x14ac:dyDescent="0.25">
      <c r="A87" s="152" t="s">
        <v>191</v>
      </c>
      <c r="B87" s="2">
        <v>0</v>
      </c>
      <c r="C87" s="2">
        <v>0</v>
      </c>
      <c r="D87" s="2">
        <v>10000</v>
      </c>
    </row>
    <row r="88" spans="1:4" x14ac:dyDescent="0.25">
      <c r="A88" s="152" t="s">
        <v>193</v>
      </c>
      <c r="B88" s="2">
        <v>0</v>
      </c>
      <c r="C88" s="2">
        <v>0</v>
      </c>
      <c r="D88" s="2">
        <v>16280</v>
      </c>
    </row>
    <row r="89" spans="1:4" x14ac:dyDescent="0.25">
      <c r="A89" s="152" t="s">
        <v>195</v>
      </c>
      <c r="B89" s="2">
        <v>0</v>
      </c>
      <c r="C89" s="2">
        <v>0</v>
      </c>
      <c r="D89" s="2">
        <v>0</v>
      </c>
    </row>
    <row r="90" spans="1:4" x14ac:dyDescent="0.25">
      <c r="A90" s="152" t="s">
        <v>196</v>
      </c>
      <c r="B90" s="2">
        <v>10020</v>
      </c>
      <c r="C90" s="2">
        <v>2505</v>
      </c>
      <c r="D90" s="2">
        <v>0</v>
      </c>
    </row>
    <row r="91" spans="1:4" x14ac:dyDescent="0.25">
      <c r="A91" s="152" t="s">
        <v>197</v>
      </c>
      <c r="B91" s="2">
        <v>0</v>
      </c>
      <c r="C91" s="2">
        <v>0</v>
      </c>
      <c r="D91" s="2">
        <v>0</v>
      </c>
    </row>
    <row r="92" spans="1:4" x14ac:dyDescent="0.25">
      <c r="A92" s="152" t="s">
        <v>198</v>
      </c>
      <c r="B92" s="2">
        <v>62814</v>
      </c>
      <c r="C92" s="2">
        <v>0</v>
      </c>
      <c r="D92" s="2">
        <v>0</v>
      </c>
    </row>
    <row r="93" spans="1:4" x14ac:dyDescent="0.25">
      <c r="A93" s="152" t="s">
        <v>199</v>
      </c>
      <c r="B93" s="2">
        <v>0</v>
      </c>
      <c r="C93" s="2">
        <v>0</v>
      </c>
      <c r="D93" s="2">
        <v>47361</v>
      </c>
    </row>
    <row r="94" spans="1:4" x14ac:dyDescent="0.25">
      <c r="A94" s="152" t="s">
        <v>200</v>
      </c>
      <c r="B94" s="2">
        <v>65363</v>
      </c>
      <c r="C94" s="2">
        <v>16341</v>
      </c>
      <c r="D94" s="2">
        <v>0</v>
      </c>
    </row>
    <row r="95" spans="1:4" x14ac:dyDescent="0.25">
      <c r="A95" s="152" t="s">
        <v>377</v>
      </c>
      <c r="B95" s="2">
        <v>882074</v>
      </c>
      <c r="C95" s="2">
        <v>168226</v>
      </c>
      <c r="D95" s="2">
        <v>1253630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1BAB2-BB50-44B6-AB70-846B9FC413DB}">
  <dimension ref="A1:S135"/>
  <sheetViews>
    <sheetView workbookViewId="0">
      <selection activeCell="Q31" sqref="Q31"/>
    </sheetView>
  </sheetViews>
  <sheetFormatPr defaultRowHeight="15" x14ac:dyDescent="0.25"/>
  <cols>
    <col min="1" max="1" width="23.85546875" customWidth="1"/>
    <col min="2" max="3" width="12.7109375" customWidth="1"/>
    <col min="4" max="4" width="12.7109375" style="2" customWidth="1"/>
    <col min="5" max="19" width="12.7109375" customWidth="1"/>
  </cols>
  <sheetData>
    <row r="1" spans="1:19" x14ac:dyDescent="0.25">
      <c r="A1">
        <v>1</v>
      </c>
      <c r="B1">
        <v>2</v>
      </c>
      <c r="C1">
        <v>3</v>
      </c>
      <c r="D1" s="2">
        <v>4</v>
      </c>
      <c r="E1">
        <v>5</v>
      </c>
      <c r="F1">
        <v>6</v>
      </c>
      <c r="G1">
        <v>7</v>
      </c>
      <c r="H1" s="2">
        <v>8</v>
      </c>
      <c r="I1">
        <v>9</v>
      </c>
      <c r="J1">
        <v>10</v>
      </c>
      <c r="K1">
        <v>11</v>
      </c>
      <c r="L1" s="2">
        <v>12</v>
      </c>
      <c r="M1">
        <v>13</v>
      </c>
      <c r="N1">
        <v>14</v>
      </c>
      <c r="O1">
        <v>15</v>
      </c>
      <c r="P1" s="2">
        <v>16</v>
      </c>
      <c r="Q1">
        <v>17</v>
      </c>
      <c r="R1">
        <v>18</v>
      </c>
      <c r="S1">
        <v>19</v>
      </c>
    </row>
    <row r="2" spans="1:19" s="1" customFormat="1" x14ac:dyDescent="0.25">
      <c r="B2" s="4" t="s">
        <v>55</v>
      </c>
      <c r="C2" s="4" t="s">
        <v>57</v>
      </c>
      <c r="D2" s="4" t="s">
        <v>59</v>
      </c>
      <c r="E2" s="4" t="s">
        <v>61</v>
      </c>
      <c r="F2" s="4" t="s">
        <v>63</v>
      </c>
      <c r="G2" s="4" t="s">
        <v>65</v>
      </c>
      <c r="H2" s="4" t="s">
        <v>66</v>
      </c>
      <c r="I2" s="4" t="s">
        <v>68</v>
      </c>
      <c r="J2" s="4" t="s">
        <v>70</v>
      </c>
      <c r="K2" s="4" t="s">
        <v>72</v>
      </c>
      <c r="L2" s="4" t="s">
        <v>74</v>
      </c>
      <c r="M2" s="4" t="s">
        <v>76</v>
      </c>
      <c r="N2" s="4" t="s">
        <v>78</v>
      </c>
      <c r="O2" s="4" t="s">
        <v>80</v>
      </c>
      <c r="P2" s="4" t="s">
        <v>82</v>
      </c>
      <c r="Q2" s="4" t="s">
        <v>84</v>
      </c>
      <c r="R2" s="4" t="s">
        <v>86</v>
      </c>
      <c r="S2" s="4" t="s">
        <v>88</v>
      </c>
    </row>
    <row r="3" spans="1:19" x14ac:dyDescent="0.25">
      <c r="A3" t="s">
        <v>53</v>
      </c>
      <c r="D3" s="2">
        <v>14872</v>
      </c>
    </row>
    <row r="4" spans="1:19" x14ac:dyDescent="0.25">
      <c r="A4" t="s">
        <v>54</v>
      </c>
    </row>
    <row r="5" spans="1:19" x14ac:dyDescent="0.25">
      <c r="A5" t="s">
        <v>56</v>
      </c>
      <c r="E5" s="2"/>
    </row>
    <row r="6" spans="1:19" x14ac:dyDescent="0.25">
      <c r="A6" t="s">
        <v>58</v>
      </c>
    </row>
    <row r="7" spans="1:19" x14ac:dyDescent="0.25">
      <c r="A7" t="s">
        <v>60</v>
      </c>
    </row>
    <row r="8" spans="1:19" x14ac:dyDescent="0.25">
      <c r="A8" t="s">
        <v>62</v>
      </c>
      <c r="E8" s="2"/>
    </row>
    <row r="9" spans="1:19" x14ac:dyDescent="0.25">
      <c r="A9" t="s">
        <v>64</v>
      </c>
    </row>
    <row r="10" spans="1:19" x14ac:dyDescent="0.25">
      <c r="A10" t="s">
        <v>11</v>
      </c>
    </row>
    <row r="11" spans="1:19" x14ac:dyDescent="0.25">
      <c r="A11" t="s">
        <v>67</v>
      </c>
    </row>
    <row r="12" spans="1:19" x14ac:dyDescent="0.25">
      <c r="A12" t="s">
        <v>69</v>
      </c>
    </row>
    <row r="13" spans="1:19" x14ac:dyDescent="0.25">
      <c r="A13" t="s">
        <v>71</v>
      </c>
    </row>
    <row r="14" spans="1:19" x14ac:dyDescent="0.25">
      <c r="A14" t="s">
        <v>73</v>
      </c>
    </row>
    <row r="15" spans="1:19" x14ac:dyDescent="0.25">
      <c r="A15" t="s">
        <v>75</v>
      </c>
    </row>
    <row r="16" spans="1:19" x14ac:dyDescent="0.25">
      <c r="A16" t="s">
        <v>77</v>
      </c>
      <c r="E16" s="2"/>
    </row>
    <row r="17" spans="1:5" x14ac:dyDescent="0.25">
      <c r="A17" t="s">
        <v>79</v>
      </c>
      <c r="E17" s="2"/>
    </row>
    <row r="18" spans="1:5" x14ac:dyDescent="0.25">
      <c r="A18" t="s">
        <v>81</v>
      </c>
      <c r="E18" s="2"/>
    </row>
    <row r="19" spans="1:5" x14ac:dyDescent="0.25">
      <c r="A19" t="s">
        <v>83</v>
      </c>
    </row>
    <row r="20" spans="1:5" x14ac:dyDescent="0.25">
      <c r="A20" t="s">
        <v>85</v>
      </c>
    </row>
    <row r="21" spans="1:5" x14ac:dyDescent="0.25">
      <c r="A21" t="s">
        <v>87</v>
      </c>
    </row>
    <row r="22" spans="1:5" x14ac:dyDescent="0.25">
      <c r="A22" t="s">
        <v>89</v>
      </c>
    </row>
    <row r="23" spans="1:5" x14ac:dyDescent="0.25">
      <c r="A23" t="s">
        <v>90</v>
      </c>
    </row>
    <row r="24" spans="1:5" x14ac:dyDescent="0.25">
      <c r="A24" t="s">
        <v>91</v>
      </c>
    </row>
    <row r="25" spans="1:5" x14ac:dyDescent="0.25">
      <c r="A25" t="s">
        <v>92</v>
      </c>
    </row>
    <row r="26" spans="1:5" x14ac:dyDescent="0.25">
      <c r="A26" t="s">
        <v>93</v>
      </c>
    </row>
    <row r="27" spans="1:5" x14ac:dyDescent="0.25">
      <c r="A27" t="s">
        <v>94</v>
      </c>
    </row>
    <row r="28" spans="1:5" x14ac:dyDescent="0.25">
      <c r="A28" t="s">
        <v>95</v>
      </c>
    </row>
    <row r="29" spans="1:5" x14ac:dyDescent="0.25">
      <c r="A29" t="s">
        <v>96</v>
      </c>
    </row>
    <row r="30" spans="1:5" x14ac:dyDescent="0.25">
      <c r="A30" t="s">
        <v>97</v>
      </c>
    </row>
    <row r="31" spans="1:5" x14ac:dyDescent="0.25">
      <c r="A31" t="s">
        <v>98</v>
      </c>
      <c r="E31" s="2"/>
    </row>
    <row r="32" spans="1:5" x14ac:dyDescent="0.25">
      <c r="A32" t="s">
        <v>99</v>
      </c>
    </row>
    <row r="33" spans="1:7" x14ac:dyDescent="0.25">
      <c r="A33" t="s">
        <v>100</v>
      </c>
    </row>
    <row r="34" spans="1:7" x14ac:dyDescent="0.25">
      <c r="A34" t="s">
        <v>101</v>
      </c>
    </row>
    <row r="35" spans="1:7" x14ac:dyDescent="0.25">
      <c r="A35" t="s">
        <v>102</v>
      </c>
      <c r="E35" s="2"/>
    </row>
    <row r="36" spans="1:7" x14ac:dyDescent="0.25">
      <c r="A36" t="s">
        <v>103</v>
      </c>
    </row>
    <row r="37" spans="1:7" x14ac:dyDescent="0.25">
      <c r="A37" t="s">
        <v>104</v>
      </c>
    </row>
    <row r="38" spans="1:7" x14ac:dyDescent="0.25">
      <c r="A38" t="s">
        <v>105</v>
      </c>
    </row>
    <row r="39" spans="1:7" x14ac:dyDescent="0.25">
      <c r="A39" t="s">
        <v>106</v>
      </c>
    </row>
    <row r="40" spans="1:7" x14ac:dyDescent="0.25">
      <c r="A40" t="s">
        <v>107</v>
      </c>
    </row>
    <row r="41" spans="1:7" x14ac:dyDescent="0.25">
      <c r="A41" t="s">
        <v>36</v>
      </c>
      <c r="G41" t="s">
        <v>31</v>
      </c>
    </row>
    <row r="42" spans="1:7" x14ac:dyDescent="0.25">
      <c r="A42" t="s">
        <v>108</v>
      </c>
    </row>
    <row r="43" spans="1:7" x14ac:dyDescent="0.25">
      <c r="A43" t="s">
        <v>109</v>
      </c>
    </row>
    <row r="44" spans="1:7" x14ac:dyDescent="0.25">
      <c r="A44" t="s">
        <v>110</v>
      </c>
    </row>
    <row r="45" spans="1:7" x14ac:dyDescent="0.25">
      <c r="A45" t="s">
        <v>111</v>
      </c>
    </row>
    <row r="46" spans="1:7" x14ac:dyDescent="0.25">
      <c r="A46" t="s">
        <v>112</v>
      </c>
    </row>
    <row r="47" spans="1:7" x14ac:dyDescent="0.25">
      <c r="A47" t="s">
        <v>113</v>
      </c>
    </row>
    <row r="48" spans="1:7" x14ac:dyDescent="0.25">
      <c r="A48" t="s">
        <v>114</v>
      </c>
    </row>
    <row r="49" spans="1:1" x14ac:dyDescent="0.25">
      <c r="A49" t="s">
        <v>115</v>
      </c>
    </row>
    <row r="50" spans="1:1" x14ac:dyDescent="0.25">
      <c r="A50" t="s">
        <v>116</v>
      </c>
    </row>
    <row r="51" spans="1:1" x14ac:dyDescent="0.25">
      <c r="A51" t="s">
        <v>117</v>
      </c>
    </row>
    <row r="52" spans="1:1" x14ac:dyDescent="0.25">
      <c r="A52" t="s">
        <v>118</v>
      </c>
    </row>
    <row r="53" spans="1:1" x14ac:dyDescent="0.25">
      <c r="A53" t="s">
        <v>119</v>
      </c>
    </row>
    <row r="54" spans="1:1" x14ac:dyDescent="0.25">
      <c r="A54" t="s">
        <v>120</v>
      </c>
    </row>
    <row r="55" spans="1:1" x14ac:dyDescent="0.25">
      <c r="A55" t="s">
        <v>121</v>
      </c>
    </row>
    <row r="56" spans="1:1" x14ac:dyDescent="0.25">
      <c r="A56" t="s">
        <v>122</v>
      </c>
    </row>
    <row r="57" spans="1:1" x14ac:dyDescent="0.25">
      <c r="A57" t="s">
        <v>123</v>
      </c>
    </row>
    <row r="58" spans="1:1" x14ac:dyDescent="0.25">
      <c r="A58" t="s">
        <v>124</v>
      </c>
    </row>
    <row r="59" spans="1:1" x14ac:dyDescent="0.25">
      <c r="A59" t="s">
        <v>125</v>
      </c>
    </row>
    <row r="60" spans="1:1" x14ac:dyDescent="0.25">
      <c r="A60" t="s">
        <v>126</v>
      </c>
    </row>
    <row r="61" spans="1:1" x14ac:dyDescent="0.25">
      <c r="A61" t="s">
        <v>127</v>
      </c>
    </row>
    <row r="62" spans="1:1" x14ac:dyDescent="0.25">
      <c r="A62" t="s">
        <v>128</v>
      </c>
    </row>
    <row r="63" spans="1:1" x14ac:dyDescent="0.25">
      <c r="A63" t="s">
        <v>129</v>
      </c>
    </row>
    <row r="64" spans="1:1" x14ac:dyDescent="0.25">
      <c r="A64" t="s">
        <v>130</v>
      </c>
    </row>
    <row r="65" spans="1:1" x14ac:dyDescent="0.25">
      <c r="A65" t="s">
        <v>131</v>
      </c>
    </row>
    <row r="66" spans="1:1" x14ac:dyDescent="0.25">
      <c r="A66" t="s">
        <v>132</v>
      </c>
    </row>
    <row r="67" spans="1:1" x14ac:dyDescent="0.25">
      <c r="A67" t="s">
        <v>133</v>
      </c>
    </row>
    <row r="68" spans="1:1" x14ac:dyDescent="0.25">
      <c r="A68" t="s">
        <v>134</v>
      </c>
    </row>
    <row r="69" spans="1:1" x14ac:dyDescent="0.25">
      <c r="A69" t="s">
        <v>135</v>
      </c>
    </row>
    <row r="70" spans="1:1" x14ac:dyDescent="0.25">
      <c r="A70" t="s">
        <v>136</v>
      </c>
    </row>
    <row r="71" spans="1:1" x14ac:dyDescent="0.25">
      <c r="A71" t="s">
        <v>137</v>
      </c>
    </row>
    <row r="72" spans="1:1" x14ac:dyDescent="0.25">
      <c r="A72" t="s">
        <v>138</v>
      </c>
    </row>
    <row r="73" spans="1:1" x14ac:dyDescent="0.25">
      <c r="A73" t="s">
        <v>139</v>
      </c>
    </row>
    <row r="74" spans="1:1" x14ac:dyDescent="0.25">
      <c r="A74" t="s">
        <v>140</v>
      </c>
    </row>
    <row r="75" spans="1:1" x14ac:dyDescent="0.25">
      <c r="A75" t="s">
        <v>141</v>
      </c>
    </row>
    <row r="76" spans="1:1" x14ac:dyDescent="0.25">
      <c r="A76" t="s">
        <v>142</v>
      </c>
    </row>
    <row r="77" spans="1:1" x14ac:dyDescent="0.25">
      <c r="A77" t="s">
        <v>143</v>
      </c>
    </row>
    <row r="78" spans="1:1" x14ac:dyDescent="0.25">
      <c r="A78" t="s">
        <v>144</v>
      </c>
    </row>
    <row r="79" spans="1:1" x14ac:dyDescent="0.25">
      <c r="A79" t="s">
        <v>145</v>
      </c>
    </row>
    <row r="80" spans="1:1" x14ac:dyDescent="0.25">
      <c r="A80" t="s">
        <v>146</v>
      </c>
    </row>
    <row r="81" spans="1:1" x14ac:dyDescent="0.25">
      <c r="A81" t="s">
        <v>147</v>
      </c>
    </row>
    <row r="82" spans="1:1" x14ac:dyDescent="0.25">
      <c r="A82" t="s">
        <v>148</v>
      </c>
    </row>
    <row r="83" spans="1:1" x14ac:dyDescent="0.25">
      <c r="A83" t="s">
        <v>149</v>
      </c>
    </row>
    <row r="84" spans="1:1" x14ac:dyDescent="0.25">
      <c r="A84" t="s">
        <v>150</v>
      </c>
    </row>
    <row r="85" spans="1:1" x14ac:dyDescent="0.25">
      <c r="A85" t="s">
        <v>151</v>
      </c>
    </row>
    <row r="86" spans="1:1" x14ac:dyDescent="0.25">
      <c r="A86" t="s">
        <v>152</v>
      </c>
    </row>
    <row r="87" spans="1:1" x14ac:dyDescent="0.25">
      <c r="A87" t="s">
        <v>153</v>
      </c>
    </row>
    <row r="88" spans="1:1" x14ac:dyDescent="0.25">
      <c r="A88" t="s">
        <v>154</v>
      </c>
    </row>
    <row r="89" spans="1:1" x14ac:dyDescent="0.25">
      <c r="A89" t="s">
        <v>155</v>
      </c>
    </row>
    <row r="90" spans="1:1" x14ac:dyDescent="0.25">
      <c r="A90" t="s">
        <v>156</v>
      </c>
    </row>
    <row r="91" spans="1:1" x14ac:dyDescent="0.25">
      <c r="A91" t="s">
        <v>157</v>
      </c>
    </row>
    <row r="92" spans="1:1" x14ac:dyDescent="0.25">
      <c r="A92" t="s">
        <v>158</v>
      </c>
    </row>
    <row r="93" spans="1:1" x14ac:dyDescent="0.25">
      <c r="A93" t="s">
        <v>159</v>
      </c>
    </row>
    <row r="94" spans="1:1" x14ac:dyDescent="0.25">
      <c r="A94" t="s">
        <v>160</v>
      </c>
    </row>
    <row r="95" spans="1:1" x14ac:dyDescent="0.25">
      <c r="A95" t="s">
        <v>161</v>
      </c>
    </row>
    <row r="96" spans="1:1" x14ac:dyDescent="0.25">
      <c r="A96" t="s">
        <v>162</v>
      </c>
    </row>
    <row r="97" spans="1:1" x14ac:dyDescent="0.25">
      <c r="A97" t="s">
        <v>163</v>
      </c>
    </row>
    <row r="98" spans="1:1" x14ac:dyDescent="0.25">
      <c r="A98" t="s">
        <v>164</v>
      </c>
    </row>
    <row r="99" spans="1:1" x14ac:dyDescent="0.25">
      <c r="A99" t="s">
        <v>165</v>
      </c>
    </row>
    <row r="100" spans="1:1" x14ac:dyDescent="0.25">
      <c r="A100" t="s">
        <v>166</v>
      </c>
    </row>
    <row r="101" spans="1:1" x14ac:dyDescent="0.25">
      <c r="A101" t="s">
        <v>167</v>
      </c>
    </row>
    <row r="102" spans="1:1" x14ac:dyDescent="0.25">
      <c r="A102" t="s">
        <v>168</v>
      </c>
    </row>
    <row r="103" spans="1:1" x14ac:dyDescent="0.25">
      <c r="A103" t="s">
        <v>169</v>
      </c>
    </row>
    <row r="104" spans="1:1" x14ac:dyDescent="0.25">
      <c r="A104" t="s">
        <v>170</v>
      </c>
    </row>
    <row r="105" spans="1:1" x14ac:dyDescent="0.25">
      <c r="A105" t="s">
        <v>171</v>
      </c>
    </row>
    <row r="106" spans="1:1" x14ac:dyDescent="0.25">
      <c r="A106" t="s">
        <v>172</v>
      </c>
    </row>
    <row r="107" spans="1:1" x14ac:dyDescent="0.25">
      <c r="A107" t="s">
        <v>174</v>
      </c>
    </row>
    <row r="108" spans="1:1" x14ac:dyDescent="0.25">
      <c r="A108" t="s">
        <v>173</v>
      </c>
    </row>
    <row r="109" spans="1:1" x14ac:dyDescent="0.25">
      <c r="A109" t="s">
        <v>175</v>
      </c>
    </row>
    <row r="110" spans="1:1" x14ac:dyDescent="0.25">
      <c r="A110" t="s">
        <v>176</v>
      </c>
    </row>
    <row r="111" spans="1:1" x14ac:dyDescent="0.25">
      <c r="A111" t="s">
        <v>177</v>
      </c>
    </row>
    <row r="112" spans="1:1" x14ac:dyDescent="0.25">
      <c r="A112" t="s">
        <v>178</v>
      </c>
    </row>
    <row r="113" spans="1:3" x14ac:dyDescent="0.25">
      <c r="A113" t="s">
        <v>179</v>
      </c>
    </row>
    <row r="114" spans="1:3" x14ac:dyDescent="0.25">
      <c r="A114" t="s">
        <v>180</v>
      </c>
    </row>
    <row r="115" spans="1:3" x14ac:dyDescent="0.25">
      <c r="A115" t="s">
        <v>181</v>
      </c>
    </row>
    <row r="116" spans="1:3" x14ac:dyDescent="0.25">
      <c r="A116" t="s">
        <v>182</v>
      </c>
    </row>
    <row r="117" spans="1:3" x14ac:dyDescent="0.25">
      <c r="A117" t="s">
        <v>183</v>
      </c>
    </row>
    <row r="118" spans="1:3" x14ac:dyDescent="0.25">
      <c r="A118" t="s">
        <v>184</v>
      </c>
    </row>
    <row r="119" spans="1:3" x14ac:dyDescent="0.25">
      <c r="A119" t="s">
        <v>185</v>
      </c>
    </row>
    <row r="120" spans="1:3" x14ac:dyDescent="0.25">
      <c r="A120" t="s">
        <v>186</v>
      </c>
    </row>
    <row r="121" spans="1:3" x14ac:dyDescent="0.25">
      <c r="A121" t="s">
        <v>187</v>
      </c>
    </row>
    <row r="122" spans="1:3" x14ac:dyDescent="0.25">
      <c r="A122" t="s">
        <v>188</v>
      </c>
    </row>
    <row r="123" spans="1:3" x14ac:dyDescent="0.25">
      <c r="A123" t="s">
        <v>189</v>
      </c>
    </row>
    <row r="124" spans="1:3" x14ac:dyDescent="0.25">
      <c r="A124" t="s">
        <v>190</v>
      </c>
    </row>
    <row r="125" spans="1:3" x14ac:dyDescent="0.25">
      <c r="A125" t="s">
        <v>12</v>
      </c>
    </row>
    <row r="126" spans="1:3" x14ac:dyDescent="0.25">
      <c r="A126" t="s">
        <v>191</v>
      </c>
    </row>
    <row r="127" spans="1:3" x14ac:dyDescent="0.25">
      <c r="A127" t="s">
        <v>192</v>
      </c>
    </row>
    <row r="128" spans="1:3" x14ac:dyDescent="0.25">
      <c r="A128" t="s">
        <v>193</v>
      </c>
      <c r="C128" s="2"/>
    </row>
    <row r="129" spans="1:1" x14ac:dyDescent="0.25">
      <c r="A129" t="s">
        <v>194</v>
      </c>
    </row>
    <row r="130" spans="1:1" x14ac:dyDescent="0.25">
      <c r="A130" t="s">
        <v>195</v>
      </c>
    </row>
    <row r="131" spans="1:1" x14ac:dyDescent="0.25">
      <c r="A131" t="s">
        <v>196</v>
      </c>
    </row>
    <row r="132" spans="1:1" x14ac:dyDescent="0.25">
      <c r="A132" t="s">
        <v>197</v>
      </c>
    </row>
    <row r="133" spans="1:1" x14ac:dyDescent="0.25">
      <c r="A133" t="s">
        <v>198</v>
      </c>
    </row>
    <row r="134" spans="1:1" x14ac:dyDescent="0.25">
      <c r="A134" t="s">
        <v>199</v>
      </c>
    </row>
    <row r="135" spans="1:1" x14ac:dyDescent="0.25">
      <c r="A135" t="s">
        <v>200</v>
      </c>
    </row>
  </sheetData>
  <conditionalFormatting sqref="A1:B1048576 C2:S2 E1:F1 I1:J1 M1:N1 Q1:R1">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1F99-3CCD-486B-96E7-37854AF37BDF}">
  <dimension ref="B1:V139"/>
  <sheetViews>
    <sheetView zoomScale="80" zoomScaleNormal="80" workbookViewId="0">
      <selection activeCell="H12" sqref="H12"/>
    </sheetView>
  </sheetViews>
  <sheetFormatPr defaultRowHeight="15" x14ac:dyDescent="0.25"/>
  <cols>
    <col min="2" max="7" width="23.5703125" customWidth="1"/>
    <col min="8" max="8" width="30.140625" bestFit="1" customWidth="1"/>
    <col min="9" max="9" width="7.42578125" customWidth="1"/>
    <col min="10" max="10" width="21.28515625" customWidth="1"/>
    <col min="11" max="11" width="40.140625" customWidth="1"/>
    <col min="13" max="15" width="32.5703125" customWidth="1"/>
    <col min="16" max="19" width="32.5703125" style="63" customWidth="1"/>
    <col min="20" max="20" width="34.140625" customWidth="1"/>
    <col min="21" max="21" width="29.140625" customWidth="1"/>
    <col min="22" max="22" width="28.42578125" customWidth="1"/>
  </cols>
  <sheetData>
    <row r="1" spans="2:22" ht="18" customHeight="1" x14ac:dyDescent="0.25">
      <c r="B1" s="9"/>
      <c r="C1" s="9"/>
      <c r="D1" s="9"/>
      <c r="E1" s="246" t="s">
        <v>203</v>
      </c>
      <c r="F1" s="247"/>
      <c r="G1" s="9"/>
      <c r="H1" s="9"/>
      <c r="I1" s="9"/>
      <c r="J1" s="10"/>
      <c r="K1" s="10"/>
      <c r="L1" s="10"/>
      <c r="M1" s="10"/>
      <c r="N1" s="10"/>
      <c r="O1" s="10"/>
      <c r="P1" s="62"/>
      <c r="Q1" s="62"/>
      <c r="R1" s="62"/>
      <c r="S1" s="62"/>
      <c r="T1" s="63"/>
    </row>
    <row r="2" spans="2:22" ht="16.5" thickBot="1" x14ac:dyDescent="0.3">
      <c r="B2" s="9"/>
      <c r="C2" s="9"/>
      <c r="D2" s="9"/>
      <c r="E2" s="9"/>
      <c r="F2" s="9"/>
      <c r="G2" s="9"/>
      <c r="H2" s="9"/>
      <c r="I2" s="9"/>
      <c r="J2" s="11"/>
      <c r="K2" s="11"/>
      <c r="L2" s="11"/>
      <c r="M2" s="64"/>
      <c r="N2" s="64"/>
      <c r="O2" s="64"/>
      <c r="P2" s="65"/>
      <c r="Q2" s="65"/>
      <c r="R2" s="65"/>
      <c r="S2" s="65"/>
      <c r="T2" s="66"/>
      <c r="U2" s="66"/>
      <c r="V2" s="66"/>
    </row>
    <row r="3" spans="2:22" ht="46.5" customHeight="1" thickBot="1" x14ac:dyDescent="0.3">
      <c r="B3" s="12" t="s">
        <v>204</v>
      </c>
      <c r="C3" s="13"/>
      <c r="D3" s="13"/>
      <c r="E3" s="13"/>
      <c r="F3" s="13"/>
      <c r="G3" s="13"/>
      <c r="J3" s="14" t="s">
        <v>201</v>
      </c>
      <c r="K3" s="15" t="s">
        <v>205</v>
      </c>
      <c r="M3" s="22" t="s">
        <v>206</v>
      </c>
      <c r="N3" s="67" t="s">
        <v>207</v>
      </c>
      <c r="O3" s="68" t="s">
        <v>208</v>
      </c>
      <c r="P3" s="69" t="s">
        <v>209</v>
      </c>
      <c r="Q3" s="70" t="s">
        <v>210</v>
      </c>
      <c r="R3" s="71" t="s">
        <v>211</v>
      </c>
      <c r="S3" s="72" t="s">
        <v>212</v>
      </c>
      <c r="T3" s="73" t="s">
        <v>213</v>
      </c>
      <c r="U3" s="74" t="s">
        <v>214</v>
      </c>
      <c r="V3" s="75" t="s">
        <v>215</v>
      </c>
    </row>
    <row r="4" spans="2:22" s="19" customFormat="1" ht="19.5" customHeight="1" thickBot="1" x14ac:dyDescent="0.3">
      <c r="B4" s="16" t="s">
        <v>49</v>
      </c>
      <c r="C4" s="17" t="s">
        <v>40</v>
      </c>
      <c r="D4" s="17" t="s">
        <v>41</v>
      </c>
      <c r="E4" s="17" t="s">
        <v>50</v>
      </c>
      <c r="F4" s="17" t="s">
        <v>52</v>
      </c>
      <c r="G4" s="18" t="s">
        <v>26</v>
      </c>
      <c r="J4" s="20" t="s">
        <v>216</v>
      </c>
      <c r="K4" s="21">
        <v>3.480034800348E-3</v>
      </c>
      <c r="M4" s="22" t="s">
        <v>53</v>
      </c>
      <c r="N4" s="61">
        <f>($C$5+$D$5+$E$5)*Table5[[#This Row],[Locality''s Allocation Percentage ]]</f>
        <v>14150.897471224234</v>
      </c>
      <c r="O4" s="61">
        <f>$F$5*Table5[[#This Row],[Locality''s Allocation Percentage ]]</f>
        <v>0</v>
      </c>
      <c r="P4" s="61">
        <f>O4*0.25</f>
        <v>0</v>
      </c>
      <c r="Q4" s="61">
        <f>($C$6+$D$6+$E$6)*Table5[[#This Row],[Locality''s Allocation Percentage ]]</f>
        <v>89582.895913754997</v>
      </c>
      <c r="R4" s="61">
        <f>$F$6*Table5[[#This Row],[Locality''s Allocation Percentage ]]</f>
        <v>32415.793409467733</v>
      </c>
      <c r="S4" s="61">
        <f>R4*0.25</f>
        <v>8103.9483523669332</v>
      </c>
      <c r="T4" s="76">
        <f>($C$7+$D$7+$E$7)*Table5[[#This Row],[Locality''s Allocation Percentage ]]</f>
        <v>14871.903377335871</v>
      </c>
      <c r="U4" s="76">
        <f>$F$7*Table5[[#This Row],[Locality''s Allocation Percentage ]]</f>
        <v>5453.031238356486</v>
      </c>
      <c r="V4" s="76">
        <f>U4*0.25</f>
        <v>1363.2578095891215</v>
      </c>
    </row>
    <row r="5" spans="2:22" s="19" customFormat="1" ht="18" customHeight="1" x14ac:dyDescent="0.25">
      <c r="B5" s="24" t="s">
        <v>55</v>
      </c>
      <c r="C5" s="25">
        <f>C34*0.225</f>
        <v>4066309.1845544642</v>
      </c>
      <c r="D5" s="25">
        <v>0</v>
      </c>
      <c r="E5" s="25">
        <v>0</v>
      </c>
      <c r="F5" s="26">
        <v>0</v>
      </c>
      <c r="G5" s="27">
        <f t="shared" ref="G5:G22" si="0">SUM(C5:F5)</f>
        <v>4066309.1845544642</v>
      </c>
      <c r="J5" s="28" t="s">
        <v>217</v>
      </c>
      <c r="K5" s="29">
        <v>8.6300863008630102E-3</v>
      </c>
      <c r="M5" s="30" t="s">
        <v>54</v>
      </c>
      <c r="N5" s="61">
        <f>($C$5+$D$5+$E$5)*Table5[[#This Row],[Locality''s Allocation Percentage ]]</f>
        <v>35092.59918869692</v>
      </c>
      <c r="O5" s="61">
        <f>$F$5*Table5[[#This Row],[Locality''s Allocation Percentage ]]</f>
        <v>0</v>
      </c>
      <c r="P5" s="61">
        <f t="shared" ref="P5:P68" si="1">O5*0.25</f>
        <v>0</v>
      </c>
      <c r="Q5" s="61">
        <f>($C$6+$D$6+$E$6)*Table5[[#This Row],[Locality''s Allocation Percentage ]]</f>
        <v>222155.28498152486</v>
      </c>
      <c r="R5" s="61">
        <f>$F$6*Table5[[#This Row],[Locality''s Allocation Percentage ]]</f>
        <v>80387.441702214623</v>
      </c>
      <c r="S5" s="61">
        <f t="shared" ref="S5:S68" si="2">R5*0.25</f>
        <v>20096.860425553656</v>
      </c>
      <c r="T5" s="76">
        <f>($C$7+$D$7+$E$7)*Table5[[#This Row],[Locality''s Allocation Percentage ]]</f>
        <v>36880.610961611703</v>
      </c>
      <c r="U5" s="76">
        <f>$F$7*Table5[[#This Row],[Locality''s Allocation Percentage ]]</f>
        <v>13522.890685924291</v>
      </c>
      <c r="V5" s="76">
        <f t="shared" ref="V5:V68" si="3">U5*0.25</f>
        <v>3380.7226714810727</v>
      </c>
    </row>
    <row r="6" spans="2:22" s="19" customFormat="1" ht="18" customHeight="1" x14ac:dyDescent="0.25">
      <c r="B6" s="31" t="s">
        <v>57</v>
      </c>
      <c r="C6" s="32">
        <f>C35*0.225+2779933.96</f>
        <v>7053426.6779029062</v>
      </c>
      <c r="D6" s="32">
        <f>D35*0.225+1362713.3</f>
        <v>17641954.549452249</v>
      </c>
      <c r="E6" s="32">
        <v>1046572.82</v>
      </c>
      <c r="F6" s="33">
        <f>SUM(F34,F35)*0.0825</f>
        <v>9314790.0148085263</v>
      </c>
      <c r="G6" s="34">
        <f t="shared" si="0"/>
        <v>35056744.062163681</v>
      </c>
      <c r="H6" s="35"/>
      <c r="I6" s="35"/>
      <c r="J6" s="36" t="s">
        <v>56</v>
      </c>
      <c r="K6" s="37">
        <v>1.1620116201162E-2</v>
      </c>
      <c r="M6" s="22" t="s">
        <v>56</v>
      </c>
      <c r="N6" s="61">
        <f>($C$5+$D$5+$E$5)*Table5[[#This Row],[Locality''s Allocation Percentage ]]</f>
        <v>47250.98523437517</v>
      </c>
      <c r="O6" s="61">
        <f>$F$5*Table5[[#This Row],[Locality''s Allocation Percentage ]]</f>
        <v>0</v>
      </c>
      <c r="P6" s="61">
        <f t="shared" si="1"/>
        <v>0</v>
      </c>
      <c r="Q6" s="61">
        <f>($C$6+$D$6+$E$6)*Table5[[#This Row],[Locality''s Allocation Percentage ]]</f>
        <v>299124.49727523938</v>
      </c>
      <c r="R6" s="61">
        <f>$F$6*Table5[[#This Row],[Locality''s Allocation Percentage ]]</f>
        <v>108238.94236149859</v>
      </c>
      <c r="S6" s="61">
        <f t="shared" si="2"/>
        <v>27059.735590374647</v>
      </c>
      <c r="T6" s="76">
        <f>($C$7+$D$7+$E$7)*Table5[[#This Row],[Locality''s Allocation Percentage ]]</f>
        <v>49658.481966851388</v>
      </c>
      <c r="U6" s="76">
        <f>$F$7*Table5[[#This Row],[Locality''s Allocation Percentage ]]</f>
        <v>18208.110054512177</v>
      </c>
      <c r="V6" s="76">
        <f t="shared" si="3"/>
        <v>4552.0275136280443</v>
      </c>
    </row>
    <row r="7" spans="2:22" s="19" customFormat="1" ht="18" customHeight="1" x14ac:dyDescent="0.25">
      <c r="B7" s="31" t="s">
        <v>59</v>
      </c>
      <c r="C7" s="32">
        <f t="shared" ref="C7:D21" si="4">C36*0.225</f>
        <v>4273492.7179029062</v>
      </c>
      <c r="D7" s="32">
        <f t="shared" si="4"/>
        <v>0</v>
      </c>
      <c r="E7" s="32">
        <v>0</v>
      </c>
      <c r="F7" s="32">
        <f>F36*0.0825</f>
        <v>1566947.3298977322</v>
      </c>
      <c r="G7" s="34">
        <f t="shared" si="0"/>
        <v>5840440.0478006387</v>
      </c>
      <c r="J7" s="28" t="s">
        <v>218</v>
      </c>
      <c r="K7" s="29">
        <v>2.130021300213E-3</v>
      </c>
      <c r="M7" s="30" t="s">
        <v>58</v>
      </c>
      <c r="N7" s="61">
        <f>($C$5+$D$5+$E$5)*Table5[[#This Row],[Locality''s Allocation Percentage ]]</f>
        <v>8661.3251763527642</v>
      </c>
      <c r="O7" s="61">
        <f>$F$5*Table5[[#This Row],[Locality''s Allocation Percentage ]]</f>
        <v>0</v>
      </c>
      <c r="P7" s="61">
        <f t="shared" si="1"/>
        <v>0</v>
      </c>
      <c r="Q7" s="61">
        <f>($C$6+$D$6+$E$6)*Table5[[#This Row],[Locality''s Allocation Percentage ]]</f>
        <v>54830.910429970732</v>
      </c>
      <c r="R7" s="61">
        <f>$F$6*Table5[[#This Row],[Locality''s Allocation Percentage ]]</f>
        <v>19840.701138553526</v>
      </c>
      <c r="S7" s="61">
        <f t="shared" si="2"/>
        <v>4960.1752846383815</v>
      </c>
      <c r="T7" s="76">
        <f>($C$7+$D$7+$E$7)*Table5[[#This Row],[Locality''s Allocation Percentage ]]</f>
        <v>9102.6305154383354</v>
      </c>
      <c r="U7" s="76">
        <f>$F$7*Table5[[#This Row],[Locality''s Allocation Percentage ]]</f>
        <v>3337.6311889940562</v>
      </c>
      <c r="V7" s="76">
        <f t="shared" si="3"/>
        <v>834.40779724851404</v>
      </c>
    </row>
    <row r="8" spans="2:22" s="19" customFormat="1" ht="18" customHeight="1" x14ac:dyDescent="0.25">
      <c r="B8" s="31" t="s">
        <v>61</v>
      </c>
      <c r="C8" s="32">
        <f t="shared" si="4"/>
        <v>5348881.5036738273</v>
      </c>
      <c r="D8" s="32">
        <f t="shared" si="4"/>
        <v>0</v>
      </c>
      <c r="E8" s="32">
        <v>0</v>
      </c>
      <c r="F8" s="32">
        <f>F37*0.0825</f>
        <v>1961256.5513470699</v>
      </c>
      <c r="G8" s="34">
        <f t="shared" si="0"/>
        <v>7310138.0550208967</v>
      </c>
      <c r="J8" s="36" t="s">
        <v>219</v>
      </c>
      <c r="K8" s="37">
        <v>1.0000100001E-3</v>
      </c>
      <c r="M8" s="22" t="s">
        <v>60</v>
      </c>
      <c r="N8" s="61">
        <f>($C$5+$D$5+$E$5)*Table5[[#This Row],[Locality''s Allocation Percentage ]]</f>
        <v>4066.3498480529406</v>
      </c>
      <c r="O8" s="61">
        <f>$F$5*Table5[[#This Row],[Locality''s Allocation Percentage ]]</f>
        <v>0</v>
      </c>
      <c r="P8" s="61">
        <f t="shared" si="1"/>
        <v>0</v>
      </c>
      <c r="Q8" s="61">
        <f>($C$6+$D$6+$E$6)*Table5[[#This Row],[Locality''s Allocation Percentage ]]</f>
        <v>25742.211469469825</v>
      </c>
      <c r="R8" s="61">
        <f>$F$6*Table5[[#This Row],[Locality''s Allocation Percentage ]]</f>
        <v>9314.8831636401537</v>
      </c>
      <c r="S8" s="61">
        <f t="shared" si="2"/>
        <v>2328.7207909100384</v>
      </c>
      <c r="T8" s="76">
        <f>($C$7+$D$7+$E$7)*Table5[[#This Row],[Locality''s Allocation Percentage ]]</f>
        <v>4273.5354532574347</v>
      </c>
      <c r="U8" s="76">
        <f>$F$7*Table5[[#This Row],[Locality''s Allocation Percentage ]]</f>
        <v>1566.962999527726</v>
      </c>
      <c r="V8" s="76">
        <f t="shared" si="3"/>
        <v>391.74074988193149</v>
      </c>
    </row>
    <row r="9" spans="2:22" s="19" customFormat="1" ht="18" customHeight="1" x14ac:dyDescent="0.25">
      <c r="B9" s="31" t="s">
        <v>63</v>
      </c>
      <c r="C9" s="32">
        <f t="shared" si="4"/>
        <v>5348881.5036225244</v>
      </c>
      <c r="D9" s="32">
        <f t="shared" si="4"/>
        <v>0</v>
      </c>
      <c r="E9" s="32">
        <v>0</v>
      </c>
      <c r="F9" s="32">
        <f t="shared" ref="F9:F22" si="5">F38*0.0825</f>
        <v>1961256.5513282591</v>
      </c>
      <c r="G9" s="34">
        <f t="shared" si="0"/>
        <v>7310138.054950783</v>
      </c>
      <c r="J9" s="28" t="s">
        <v>220</v>
      </c>
      <c r="K9" s="29">
        <v>2.9900299002989998E-3</v>
      </c>
      <c r="M9" s="30" t="s">
        <v>62</v>
      </c>
      <c r="N9" s="61">
        <f>($C$5+$D$5+$E$5)*Table5[[#This Row],[Locality''s Allocation Percentage ]]</f>
        <v>12158.386045678291</v>
      </c>
      <c r="O9" s="61">
        <f>$F$5*Table5[[#This Row],[Locality''s Allocation Percentage ]]</f>
        <v>0</v>
      </c>
      <c r="P9" s="61">
        <f t="shared" si="1"/>
        <v>0</v>
      </c>
      <c r="Q9" s="61">
        <f>($C$6+$D$6+$E$6)*Table5[[#This Row],[Locality''s Allocation Percentage ]]</f>
        <v>76969.21229371478</v>
      </c>
      <c r="R9" s="61">
        <f>$F$6*Table5[[#This Row],[Locality''s Allocation Percentage ]]</f>
        <v>27851.500659284058</v>
      </c>
      <c r="S9" s="61">
        <f t="shared" si="2"/>
        <v>6962.8751648210146</v>
      </c>
      <c r="T9" s="76">
        <f>($C$7+$D$7+$E$7)*Table5[[#This Row],[Locality''s Allocation Percentage ]]</f>
        <v>12777.871005239729</v>
      </c>
      <c r="U9" s="76">
        <f>$F$7*Table5[[#This Row],[Locality''s Allocation Percentage ]]</f>
        <v>4685.2193685879001</v>
      </c>
      <c r="V9" s="76">
        <f t="shared" si="3"/>
        <v>1171.304842146975</v>
      </c>
    </row>
    <row r="10" spans="2:22" s="19" customFormat="1" ht="18" customHeight="1" x14ac:dyDescent="0.25">
      <c r="B10" s="31" t="s">
        <v>65</v>
      </c>
      <c r="C10" s="32">
        <f t="shared" si="4"/>
        <v>5348881.5035712225</v>
      </c>
      <c r="D10" s="32">
        <f t="shared" si="4"/>
        <v>821074.79760002682</v>
      </c>
      <c r="E10" s="32">
        <v>0</v>
      </c>
      <c r="F10" s="32">
        <f t="shared" si="5"/>
        <v>2262317.310429458</v>
      </c>
      <c r="G10" s="34">
        <f t="shared" si="0"/>
        <v>8432273.6116007082</v>
      </c>
      <c r="J10" s="36" t="s">
        <v>221</v>
      </c>
      <c r="K10" s="37">
        <v>1.3300133001329999E-3</v>
      </c>
      <c r="M10" s="22" t="s">
        <v>64</v>
      </c>
      <c r="N10" s="61">
        <f>($C$5+$D$5+$E$5)*Table5[[#This Row],[Locality''s Allocation Percentage ]]</f>
        <v>5408.245297910411</v>
      </c>
      <c r="O10" s="61">
        <f>$F$5*Table5[[#This Row],[Locality''s Allocation Percentage ]]</f>
        <v>0</v>
      </c>
      <c r="P10" s="61">
        <f t="shared" si="1"/>
        <v>0</v>
      </c>
      <c r="Q10" s="61">
        <f>($C$6+$D$6+$E$6)*Table5[[#This Row],[Locality''s Allocation Percentage ]]</f>
        <v>34237.141254394868</v>
      </c>
      <c r="R10" s="61">
        <f>$F$6*Table5[[#This Row],[Locality''s Allocation Percentage ]]</f>
        <v>12388.794607641403</v>
      </c>
      <c r="S10" s="61">
        <f t="shared" si="2"/>
        <v>3097.1986519103507</v>
      </c>
      <c r="T10" s="76">
        <f>($C$7+$D$7+$E$7)*Table5[[#This Row],[Locality''s Allocation Percentage ]]</f>
        <v>5683.8021528323879</v>
      </c>
      <c r="U10" s="76">
        <f>$F$7*Table5[[#This Row],[Locality''s Allocation Percentage ]]</f>
        <v>2084.0607893718752</v>
      </c>
      <c r="V10" s="76">
        <f t="shared" si="3"/>
        <v>521.0151973429688</v>
      </c>
    </row>
    <row r="11" spans="2:22" s="19" customFormat="1" ht="18" customHeight="1" x14ac:dyDescent="0.25">
      <c r="B11" s="31" t="s">
        <v>66</v>
      </c>
      <c r="C11" s="32">
        <f t="shared" si="4"/>
        <v>5348881.5035712225</v>
      </c>
      <c r="D11" s="32">
        <f t="shared" si="4"/>
        <v>821074.79246976785</v>
      </c>
      <c r="E11" s="32">
        <v>0</v>
      </c>
      <c r="F11" s="32">
        <f t="shared" si="5"/>
        <v>2262317.3085483629</v>
      </c>
      <c r="G11" s="34">
        <f t="shared" si="0"/>
        <v>8432273.6045893542</v>
      </c>
      <c r="J11" s="28" t="s">
        <v>222</v>
      </c>
      <c r="K11" s="29">
        <v>1.3780137801378E-2</v>
      </c>
      <c r="M11" s="30" t="s">
        <v>11</v>
      </c>
      <c r="N11" s="61">
        <f>($C$5+$D$5+$E$5)*Table5[[#This Row],[Locality''s Allocation Percentage ]]</f>
        <v>56034.300906169519</v>
      </c>
      <c r="O11" s="61">
        <f>$F$5*Table5[[#This Row],[Locality''s Allocation Percentage ]]</f>
        <v>0</v>
      </c>
      <c r="P11" s="61">
        <f t="shared" si="1"/>
        <v>0</v>
      </c>
      <c r="Q11" s="61">
        <f>($C$6+$D$6+$E$6)*Table5[[#This Row],[Locality''s Allocation Percentage ]]</f>
        <v>354727.6740492942</v>
      </c>
      <c r="R11" s="61">
        <f>$F$6*Table5[[#This Row],[Locality''s Allocation Percentage ]]</f>
        <v>128359.08999496131</v>
      </c>
      <c r="S11" s="61">
        <f t="shared" si="2"/>
        <v>32089.772498740327</v>
      </c>
      <c r="T11" s="76">
        <f>($C$7+$D$7+$E$7)*Table5[[#This Row],[Locality''s Allocation Percentage ]]</f>
        <v>58889.31854588745</v>
      </c>
      <c r="U11" s="76">
        <f>$F$7*Table5[[#This Row],[Locality''s Allocation Percentage ]]</f>
        <v>21592.750133492063</v>
      </c>
      <c r="V11" s="76">
        <f t="shared" si="3"/>
        <v>5398.1875333730159</v>
      </c>
    </row>
    <row r="12" spans="2:22" s="19" customFormat="1" ht="18" customHeight="1" x14ac:dyDescent="0.25">
      <c r="B12" s="31" t="s">
        <v>68</v>
      </c>
      <c r="C12" s="32">
        <f t="shared" si="4"/>
        <v>6290929.0926684234</v>
      </c>
      <c r="D12" s="32">
        <f t="shared" si="4"/>
        <v>821074.7822092498</v>
      </c>
      <c r="E12" s="32">
        <v>0</v>
      </c>
      <c r="F12" s="32">
        <f t="shared" si="5"/>
        <v>2607734.7541218135</v>
      </c>
      <c r="G12" s="34">
        <f t="shared" si="0"/>
        <v>9719738.6289994866</v>
      </c>
      <c r="J12" s="36" t="s">
        <v>223</v>
      </c>
      <c r="K12" s="37">
        <v>8.3500835008350101E-3</v>
      </c>
      <c r="M12" s="22" t="s">
        <v>67</v>
      </c>
      <c r="N12" s="61">
        <f>($C$5+$D$5+$E$5)*Table5[[#This Row],[Locality''s Allocation Percentage ]]</f>
        <v>33954.021231242099</v>
      </c>
      <c r="O12" s="61">
        <f>$F$5*Table5[[#This Row],[Locality''s Allocation Percentage ]]</f>
        <v>0</v>
      </c>
      <c r="P12" s="61">
        <f t="shared" si="1"/>
        <v>0</v>
      </c>
      <c r="Q12" s="61">
        <f>($C$6+$D$6+$E$6)*Table5[[#This Row],[Locality''s Allocation Percentage ]]</f>
        <v>214947.46577007329</v>
      </c>
      <c r="R12" s="61">
        <f>$F$6*Table5[[#This Row],[Locality''s Allocation Percentage ]]</f>
        <v>77779.274416395376</v>
      </c>
      <c r="S12" s="61">
        <f t="shared" si="2"/>
        <v>19444.818604098844</v>
      </c>
      <c r="T12" s="76">
        <f>($C$7+$D$7+$E$7)*Table5[[#This Row],[Locality''s Allocation Percentage ]]</f>
        <v>35684.021034699625</v>
      </c>
      <c r="U12" s="76">
        <f>$F$7*Table5[[#This Row],[Locality''s Allocation Percentage ]]</f>
        <v>13084.141046056528</v>
      </c>
      <c r="V12" s="76">
        <f t="shared" si="3"/>
        <v>3271.0352615141319</v>
      </c>
    </row>
    <row r="13" spans="2:22" s="19" customFormat="1" ht="18" customHeight="1" x14ac:dyDescent="0.25">
      <c r="B13" s="31" t="s">
        <v>70</v>
      </c>
      <c r="C13" s="32">
        <f t="shared" si="4"/>
        <v>6290929.0926684234</v>
      </c>
      <c r="D13" s="32">
        <f t="shared" si="4"/>
        <v>1045371.831263311</v>
      </c>
      <c r="E13" s="32">
        <v>0</v>
      </c>
      <c r="F13" s="32">
        <f t="shared" si="5"/>
        <v>2689977.0054416358</v>
      </c>
      <c r="G13" s="34">
        <f t="shared" si="0"/>
        <v>10026277.92937337</v>
      </c>
      <c r="J13" s="28" t="s">
        <v>224</v>
      </c>
      <c r="K13" s="29">
        <v>3.7000370003699998E-4</v>
      </c>
      <c r="M13" s="30" t="s">
        <v>69</v>
      </c>
      <c r="N13" s="61">
        <f>($C$5+$D$5+$E$5)*Table5[[#This Row],[Locality''s Allocation Percentage ]]</f>
        <v>1504.549443779588</v>
      </c>
      <c r="O13" s="61">
        <f>$F$5*Table5[[#This Row],[Locality''s Allocation Percentage ]]</f>
        <v>0</v>
      </c>
      <c r="P13" s="61">
        <f t="shared" si="1"/>
        <v>0</v>
      </c>
      <c r="Q13" s="61">
        <f>($C$6+$D$6+$E$6)*Table5[[#This Row],[Locality''s Allocation Percentage ]]</f>
        <v>9524.6182437038351</v>
      </c>
      <c r="R13" s="61">
        <f>$F$6*Table5[[#This Row],[Locality''s Allocation Percentage ]]</f>
        <v>3446.5067705468564</v>
      </c>
      <c r="S13" s="61">
        <f t="shared" si="2"/>
        <v>861.6266926367141</v>
      </c>
      <c r="T13" s="76">
        <f>($C$7+$D$7+$E$7)*Table5[[#This Row],[Locality''s Allocation Percentage ]]</f>
        <v>1581.2081177052507</v>
      </c>
      <c r="U13" s="76">
        <f>$F$7*Table5[[#This Row],[Locality''s Allocation Percentage ]]</f>
        <v>579.77630982525852</v>
      </c>
      <c r="V13" s="76">
        <f t="shared" si="3"/>
        <v>144.94407745631463</v>
      </c>
    </row>
    <row r="14" spans="2:22" s="19" customFormat="1" ht="18" customHeight="1" x14ac:dyDescent="0.25">
      <c r="B14" s="31" t="s">
        <v>72</v>
      </c>
      <c r="C14" s="32">
        <f t="shared" si="4"/>
        <v>6290929.0926684234</v>
      </c>
      <c r="D14" s="32">
        <f t="shared" si="4"/>
        <v>1045371.8363935698</v>
      </c>
      <c r="E14" s="32">
        <v>0</v>
      </c>
      <c r="F14" s="32">
        <f t="shared" si="5"/>
        <v>2689977.0073227305</v>
      </c>
      <c r="G14" s="34">
        <f t="shared" si="0"/>
        <v>10026277.936384723</v>
      </c>
      <c r="J14" s="36" t="s">
        <v>225</v>
      </c>
      <c r="K14" s="37">
        <v>7.7700777007770096E-3</v>
      </c>
      <c r="M14" s="22" t="s">
        <v>71</v>
      </c>
      <c r="N14" s="61">
        <f>($C$5+$D$5+$E$5)*Table5[[#This Row],[Locality''s Allocation Percentage ]]</f>
        <v>31595.538319371386</v>
      </c>
      <c r="O14" s="61">
        <f>$F$5*Table5[[#This Row],[Locality''s Allocation Percentage ]]</f>
        <v>0</v>
      </c>
      <c r="P14" s="61">
        <f t="shared" si="1"/>
        <v>0</v>
      </c>
      <c r="Q14" s="61">
        <f>($C$6+$D$6+$E$6)*Table5[[#This Row],[Locality''s Allocation Percentage ]]</f>
        <v>200016.98311778079</v>
      </c>
      <c r="R14" s="61">
        <f>$F$6*Table5[[#This Row],[Locality''s Allocation Percentage ]]</f>
        <v>72376.642181484087</v>
      </c>
      <c r="S14" s="61">
        <f t="shared" si="2"/>
        <v>18094.160545371022</v>
      </c>
      <c r="T14" s="76">
        <f>($C$7+$D$7+$E$7)*Table5[[#This Row],[Locality''s Allocation Percentage ]]</f>
        <v>33205.370471810311</v>
      </c>
      <c r="U14" s="76">
        <f>$F$7*Table5[[#This Row],[Locality''s Allocation Percentage ]]</f>
        <v>12175.302506330445</v>
      </c>
      <c r="V14" s="76">
        <f t="shared" si="3"/>
        <v>3043.8256265826112</v>
      </c>
    </row>
    <row r="15" spans="2:22" s="19" customFormat="1" ht="18" customHeight="1" x14ac:dyDescent="0.25">
      <c r="B15" s="31" t="s">
        <v>74</v>
      </c>
      <c r="C15" s="32">
        <f t="shared" si="4"/>
        <v>5288160.791711376</v>
      </c>
      <c r="D15" s="32">
        <f t="shared" si="4"/>
        <v>1045371.831263311</v>
      </c>
      <c r="E15" s="32">
        <v>0</v>
      </c>
      <c r="F15" s="32">
        <f t="shared" si="5"/>
        <v>2322295.2950907187</v>
      </c>
      <c r="G15" s="34">
        <f t="shared" si="0"/>
        <v>8655827.9180654064</v>
      </c>
      <c r="J15" s="28" t="s">
        <v>226</v>
      </c>
      <c r="K15" s="29">
        <v>1.470014700147E-3</v>
      </c>
      <c r="M15" s="30" t="s">
        <v>73</v>
      </c>
      <c r="N15" s="61">
        <f>($C$5+$D$5+$E$5)*Table5[[#This Row],[Locality''s Allocation Percentage ]]</f>
        <v>5977.5342766378226</v>
      </c>
      <c r="O15" s="61">
        <f>$F$5*Table5[[#This Row],[Locality''s Allocation Percentage ]]</f>
        <v>0</v>
      </c>
      <c r="P15" s="61">
        <f t="shared" si="1"/>
        <v>0</v>
      </c>
      <c r="Q15" s="61">
        <f>($C$6+$D$6+$E$6)*Table5[[#This Row],[Locality''s Allocation Percentage ]]</f>
        <v>37841.050860120646</v>
      </c>
      <c r="R15" s="61">
        <f>$F$6*Table5[[#This Row],[Locality''s Allocation Percentage ]]</f>
        <v>13692.878250551026</v>
      </c>
      <c r="S15" s="61">
        <f t="shared" si="2"/>
        <v>3423.2195626377566</v>
      </c>
      <c r="T15" s="76">
        <f>($C$7+$D$7+$E$7)*Table5[[#This Row],[Locality''s Allocation Percentage ]]</f>
        <v>6282.0971162884289</v>
      </c>
      <c r="U15" s="76">
        <f>$F$7*Table5[[#This Row],[Locality''s Allocation Percentage ]]</f>
        <v>2303.4356093057572</v>
      </c>
      <c r="V15" s="76">
        <f t="shared" si="3"/>
        <v>575.85890232643931</v>
      </c>
    </row>
    <row r="16" spans="2:22" s="19" customFormat="1" ht="18" customHeight="1" x14ac:dyDescent="0.25">
      <c r="B16" s="31" t="s">
        <v>76</v>
      </c>
      <c r="C16" s="32">
        <f t="shared" si="4"/>
        <v>5288160.791711376</v>
      </c>
      <c r="D16" s="32">
        <f t="shared" si="4"/>
        <v>0</v>
      </c>
      <c r="E16" s="32">
        <v>0</v>
      </c>
      <c r="F16" s="32">
        <f t="shared" si="5"/>
        <v>1938992.2902941711</v>
      </c>
      <c r="G16" s="34">
        <f t="shared" si="0"/>
        <v>7227153.0820055474</v>
      </c>
      <c r="J16" s="36" t="s">
        <v>227</v>
      </c>
      <c r="K16" s="37">
        <v>3.6200362003620001E-3</v>
      </c>
      <c r="M16" s="22" t="s">
        <v>75</v>
      </c>
      <c r="N16" s="61">
        <f>($C$5+$D$5+$E$5)*Table5[[#This Row],[Locality''s Allocation Percentage ]]</f>
        <v>14720.186449951645</v>
      </c>
      <c r="O16" s="61">
        <f>$F$5*Table5[[#This Row],[Locality''s Allocation Percentage ]]</f>
        <v>0</v>
      </c>
      <c r="P16" s="61">
        <f t="shared" si="1"/>
        <v>0</v>
      </c>
      <c r="Q16" s="61">
        <f>($C$6+$D$6+$E$6)*Table5[[#This Row],[Locality''s Allocation Percentage ]]</f>
        <v>93186.805519480768</v>
      </c>
      <c r="R16" s="61">
        <f>$F$6*Table5[[#This Row],[Locality''s Allocation Percentage ]]</f>
        <v>33719.877052377356</v>
      </c>
      <c r="S16" s="61">
        <f t="shared" si="2"/>
        <v>8429.9692630943391</v>
      </c>
      <c r="T16" s="76">
        <f>($C$7+$D$7+$E$7)*Table5[[#This Row],[Locality''s Allocation Percentage ]]</f>
        <v>15470.198340791914</v>
      </c>
      <c r="U16" s="76">
        <f>$F$7*Table5[[#This Row],[Locality''s Allocation Percentage ]]</f>
        <v>5672.4060582903685</v>
      </c>
      <c r="V16" s="76">
        <f t="shared" si="3"/>
        <v>1418.1015145725921</v>
      </c>
    </row>
    <row r="17" spans="2:22" s="19" customFormat="1" ht="18" customHeight="1" x14ac:dyDescent="0.25">
      <c r="B17" s="31" t="s">
        <v>78</v>
      </c>
      <c r="C17" s="32">
        <f t="shared" si="4"/>
        <v>5288160.791711376</v>
      </c>
      <c r="D17" s="32">
        <f t="shared" si="4"/>
        <v>0</v>
      </c>
      <c r="E17" s="32">
        <v>0</v>
      </c>
      <c r="F17" s="32">
        <f t="shared" si="5"/>
        <v>1938992.2902941711</v>
      </c>
      <c r="G17" s="34">
        <f t="shared" si="0"/>
        <v>7227153.0820055474</v>
      </c>
      <c r="J17" s="28" t="s">
        <v>77</v>
      </c>
      <c r="K17" s="29">
        <v>4.3400434004340002E-3</v>
      </c>
      <c r="M17" s="30" t="s">
        <v>77</v>
      </c>
      <c r="N17" s="61">
        <f>($C$5+$D$5+$E$5)*Table5[[#This Row],[Locality''s Allocation Percentage ]]</f>
        <v>17647.958340549761</v>
      </c>
      <c r="O17" s="61">
        <f>$F$5*Table5[[#This Row],[Locality''s Allocation Percentage ]]</f>
        <v>0</v>
      </c>
      <c r="P17" s="61">
        <f t="shared" si="1"/>
        <v>0</v>
      </c>
      <c r="Q17" s="61">
        <f>($C$6+$D$6+$E$6)*Table5[[#This Row],[Locality''s Allocation Percentage ]]</f>
        <v>111721.19777749905</v>
      </c>
      <c r="R17" s="61">
        <f>$F$6*Table5[[#This Row],[Locality''s Allocation Percentage ]]</f>
        <v>40426.592930198269</v>
      </c>
      <c r="S17" s="61">
        <f t="shared" si="2"/>
        <v>10106.648232549567</v>
      </c>
      <c r="T17" s="76">
        <f>($C$7+$D$7+$E$7)*Table5[[#This Row],[Locality''s Allocation Percentage ]]</f>
        <v>18547.143867137267</v>
      </c>
      <c r="U17" s="76">
        <f>$F$7*Table5[[#This Row],[Locality''s Allocation Percentage ]]</f>
        <v>6800.6194179503309</v>
      </c>
      <c r="V17" s="76">
        <f t="shared" si="3"/>
        <v>1700.1548544875827</v>
      </c>
    </row>
    <row r="18" spans="2:22" s="19" customFormat="1" ht="18" customHeight="1" x14ac:dyDescent="0.25">
      <c r="B18" s="31" t="s">
        <v>80</v>
      </c>
      <c r="C18" s="32">
        <f t="shared" si="4"/>
        <v>5288160.791711376</v>
      </c>
      <c r="D18" s="32">
        <f t="shared" si="4"/>
        <v>0</v>
      </c>
      <c r="E18" s="32">
        <v>0</v>
      </c>
      <c r="F18" s="32">
        <f t="shared" si="5"/>
        <v>1938992.2902941711</v>
      </c>
      <c r="G18" s="34">
        <f t="shared" si="0"/>
        <v>7227153.0820055474</v>
      </c>
      <c r="J18" s="36" t="s">
        <v>228</v>
      </c>
      <c r="K18" s="37">
        <v>1.0700107001070001E-3</v>
      </c>
      <c r="M18" s="22" t="s">
        <v>79</v>
      </c>
      <c r="N18" s="61">
        <f>($C$5+$D$5+$E$5)*Table5[[#This Row],[Locality''s Allocation Percentage ]]</f>
        <v>4350.9943374166469</v>
      </c>
      <c r="O18" s="61">
        <f>$F$5*Table5[[#This Row],[Locality''s Allocation Percentage ]]</f>
        <v>0</v>
      </c>
      <c r="P18" s="61">
        <f t="shared" si="1"/>
        <v>0</v>
      </c>
      <c r="Q18" s="61">
        <f>($C$6+$D$6+$E$6)*Table5[[#This Row],[Locality''s Allocation Percentage ]]</f>
        <v>27544.166272332714</v>
      </c>
      <c r="R18" s="61">
        <f>$F$6*Table5[[#This Row],[Locality''s Allocation Percentage ]]</f>
        <v>9966.9249850949655</v>
      </c>
      <c r="S18" s="61">
        <f t="shared" si="2"/>
        <v>2491.7312462737414</v>
      </c>
      <c r="T18" s="76">
        <f>($C$7+$D$7+$E$7)*Table5[[#This Row],[Locality''s Allocation Percentage ]]</f>
        <v>4572.6829349854552</v>
      </c>
      <c r="U18" s="76">
        <f>$F$7*Table5[[#This Row],[Locality''s Allocation Percentage ]]</f>
        <v>1676.650409494667</v>
      </c>
      <c r="V18" s="76">
        <f t="shared" si="3"/>
        <v>419.16260237366674</v>
      </c>
    </row>
    <row r="19" spans="2:22" s="19" customFormat="1" ht="18" customHeight="1" x14ac:dyDescent="0.25">
      <c r="B19" s="31" t="s">
        <v>82</v>
      </c>
      <c r="C19" s="32">
        <f t="shared" si="4"/>
        <v>5288160.791711376</v>
      </c>
      <c r="D19" s="32">
        <f t="shared" si="4"/>
        <v>0</v>
      </c>
      <c r="E19" s="32">
        <v>0</v>
      </c>
      <c r="F19" s="32">
        <f t="shared" si="5"/>
        <v>1938992.2902941711</v>
      </c>
      <c r="G19" s="34">
        <f t="shared" si="0"/>
        <v>7227153.0820055474</v>
      </c>
      <c r="J19" s="28" t="s">
        <v>229</v>
      </c>
      <c r="K19" s="29">
        <v>9.29009290092901E-3</v>
      </c>
      <c r="M19" s="30" t="s">
        <v>81</v>
      </c>
      <c r="N19" s="61">
        <f>($C$5+$D$5+$E$5)*Table5[[#This Row],[Locality''s Allocation Percentage ]]</f>
        <v>37776.390088411856</v>
      </c>
      <c r="O19" s="61">
        <f>$F$5*Table5[[#This Row],[Locality''s Allocation Percentage ]]</f>
        <v>0</v>
      </c>
      <c r="P19" s="61">
        <f t="shared" si="1"/>
        <v>0</v>
      </c>
      <c r="Q19" s="61">
        <f>($C$6+$D$6+$E$6)*Table5[[#This Row],[Locality''s Allocation Percentage ]]</f>
        <v>239145.14455137495</v>
      </c>
      <c r="R19" s="61">
        <f>$F$6*Table5[[#This Row],[Locality''s Allocation Percentage ]]</f>
        <v>86535.264590217121</v>
      </c>
      <c r="S19" s="61">
        <f t="shared" si="2"/>
        <v>21633.81614755428</v>
      </c>
      <c r="T19" s="76">
        <f>($C$7+$D$7+$E$7)*Table5[[#This Row],[Locality''s Allocation Percentage ]]</f>
        <v>39701.144360761609</v>
      </c>
      <c r="U19" s="76">
        <f>$F$7*Table5[[#This Row],[Locality''s Allocation Percentage ]]</f>
        <v>14557.08626561259</v>
      </c>
      <c r="V19" s="76">
        <f t="shared" si="3"/>
        <v>3639.2715664031475</v>
      </c>
    </row>
    <row r="20" spans="2:22" s="19" customFormat="1" ht="18" customHeight="1" x14ac:dyDescent="0.25">
      <c r="B20" s="31" t="s">
        <v>84</v>
      </c>
      <c r="C20" s="32">
        <f t="shared" si="4"/>
        <v>5288160.791711376</v>
      </c>
      <c r="D20" s="32">
        <f t="shared" si="4"/>
        <v>0</v>
      </c>
      <c r="E20" s="32">
        <v>0</v>
      </c>
      <c r="F20" s="32">
        <f t="shared" si="5"/>
        <v>1938992.2902941711</v>
      </c>
      <c r="G20" s="34">
        <f t="shared" si="0"/>
        <v>7227153.0820055474</v>
      </c>
      <c r="J20" s="36" t="s">
        <v>230</v>
      </c>
      <c r="K20" s="37">
        <v>1.270012700127E-3</v>
      </c>
      <c r="M20" s="22" t="s">
        <v>83</v>
      </c>
      <c r="N20" s="61">
        <f>($C$5+$D$5+$E$5)*Table5[[#This Row],[Locality''s Allocation Percentage ]]</f>
        <v>5164.2643070272352</v>
      </c>
      <c r="O20" s="61">
        <f>$F$5*Table5[[#This Row],[Locality''s Allocation Percentage ]]</f>
        <v>0</v>
      </c>
      <c r="P20" s="61">
        <f t="shared" si="1"/>
        <v>0</v>
      </c>
      <c r="Q20" s="61">
        <f>($C$6+$D$6+$E$6)*Table5[[#This Row],[Locality''s Allocation Percentage ]]</f>
        <v>32692.608566226678</v>
      </c>
      <c r="R20" s="61">
        <f>$F$6*Table5[[#This Row],[Locality''s Allocation Percentage ]]</f>
        <v>11829.901617822996</v>
      </c>
      <c r="S20" s="61">
        <f t="shared" si="2"/>
        <v>2957.475404455749</v>
      </c>
      <c r="T20" s="76">
        <f>($C$7+$D$7+$E$7)*Table5[[#This Row],[Locality''s Allocation Percentage ]]</f>
        <v>5427.3900256369425</v>
      </c>
      <c r="U20" s="76">
        <f>$F$7*Table5[[#This Row],[Locality''s Allocation Percentage ]]</f>
        <v>1990.043009400212</v>
      </c>
      <c r="V20" s="76">
        <f t="shared" si="3"/>
        <v>497.510752350053</v>
      </c>
    </row>
    <row r="21" spans="2:22" s="19" customFormat="1" ht="18" customHeight="1" x14ac:dyDescent="0.25">
      <c r="B21" s="31" t="s">
        <v>86</v>
      </c>
      <c r="C21" s="32">
        <f t="shared" si="4"/>
        <v>5288160.791711376</v>
      </c>
      <c r="D21" s="32">
        <f t="shared" si="4"/>
        <v>0</v>
      </c>
      <c r="E21" s="32">
        <v>0</v>
      </c>
      <c r="F21" s="32">
        <f t="shared" si="5"/>
        <v>1938992.2902941711</v>
      </c>
      <c r="G21" s="34">
        <f t="shared" si="0"/>
        <v>7227153.0820055474</v>
      </c>
      <c r="J21" s="28" t="s">
        <v>85</v>
      </c>
      <c r="K21" s="29">
        <v>7.8000780007800004E-4</v>
      </c>
      <c r="M21" s="30" t="s">
        <v>85</v>
      </c>
      <c r="N21" s="61">
        <f>($C$5+$D$5+$E$5)*Table5[[#This Row],[Locality''s Allocation Percentage ]]</f>
        <v>3171.752881481294</v>
      </c>
      <c r="O21" s="61">
        <f>$F$5*Table5[[#This Row],[Locality''s Allocation Percentage ]]</f>
        <v>0</v>
      </c>
      <c r="P21" s="61">
        <f t="shared" si="1"/>
        <v>0</v>
      </c>
      <c r="Q21" s="61">
        <f>($C$6+$D$6+$E$6)*Table5[[#This Row],[Locality''s Allocation Percentage ]]</f>
        <v>20078.924946186464</v>
      </c>
      <c r="R21" s="61">
        <f>$F$6*Table5[[#This Row],[Locality''s Allocation Percentage ]]</f>
        <v>7265.6088676393201</v>
      </c>
      <c r="S21" s="61">
        <f t="shared" si="2"/>
        <v>1816.40221690983</v>
      </c>
      <c r="T21" s="76">
        <f>($C$7+$D$7+$E$7)*Table5[[#This Row],[Locality''s Allocation Percentage ]]</f>
        <v>3333.3576535407992</v>
      </c>
      <c r="U21" s="76">
        <f>$F$7*Table5[[#This Row],[Locality''s Allocation Percentage ]]</f>
        <v>1222.2311396316263</v>
      </c>
      <c r="V21" s="76">
        <f t="shared" si="3"/>
        <v>305.55778490790658</v>
      </c>
    </row>
    <row r="22" spans="2:22" s="19" customFormat="1" ht="18" customHeight="1" thickBot="1" x14ac:dyDescent="0.3">
      <c r="B22" s="31" t="s">
        <v>88</v>
      </c>
      <c r="C22" s="38">
        <f t="shared" ref="C22" si="6">C51*0.225</f>
        <v>5288160.791711376</v>
      </c>
      <c r="D22" s="38">
        <v>0</v>
      </c>
      <c r="E22" s="38">
        <v>0</v>
      </c>
      <c r="F22" s="38">
        <f t="shared" si="5"/>
        <v>1938992.2902941711</v>
      </c>
      <c r="G22" s="39">
        <f t="shared" si="0"/>
        <v>7227153.0820055474</v>
      </c>
      <c r="J22" s="36" t="s">
        <v>231</v>
      </c>
      <c r="K22" s="37">
        <v>4.5600456004559996E-3</v>
      </c>
      <c r="M22" s="22" t="s">
        <v>87</v>
      </c>
      <c r="N22" s="61">
        <f>($C$5+$D$5+$E$5)*Table5[[#This Row],[Locality''s Allocation Percentage ]]</f>
        <v>18542.555307121409</v>
      </c>
      <c r="O22" s="61">
        <f>$F$5*Table5[[#This Row],[Locality''s Allocation Percentage ]]</f>
        <v>0</v>
      </c>
      <c r="P22" s="61">
        <f t="shared" si="1"/>
        <v>0</v>
      </c>
      <c r="Q22" s="61">
        <f>($C$6+$D$6+$E$6)*Table5[[#This Row],[Locality''s Allocation Percentage ]]</f>
        <v>117384.48430078239</v>
      </c>
      <c r="R22" s="61">
        <f>$F$6*Table5[[#This Row],[Locality''s Allocation Percentage ]]</f>
        <v>42475.867226199094</v>
      </c>
      <c r="S22" s="61">
        <f t="shared" si="2"/>
        <v>10618.966806549774</v>
      </c>
      <c r="T22" s="76">
        <f>($C$7+$D$7+$E$7)*Table5[[#This Row],[Locality''s Allocation Percentage ]]</f>
        <v>19487.321666853899</v>
      </c>
      <c r="U22" s="76">
        <f>$F$7*Table5[[#This Row],[Locality''s Allocation Percentage ]]</f>
        <v>7145.3512778464301</v>
      </c>
      <c r="V22" s="76">
        <f t="shared" si="3"/>
        <v>1786.3378194616075</v>
      </c>
    </row>
    <row r="23" spans="2:22" s="19" customFormat="1" ht="18" customHeight="1" thickBot="1" x14ac:dyDescent="0.3">
      <c r="B23" s="40" t="s">
        <v>26</v>
      </c>
      <c r="C23" s="41">
        <f>SUM(C5:C22)</f>
        <v>97966828.206495345</v>
      </c>
      <c r="D23" s="41">
        <f>SUM(D5:D22)</f>
        <v>23241294.420651488</v>
      </c>
      <c r="E23" s="41">
        <f>SUM(E5:E22)</f>
        <v>1046572.82</v>
      </c>
      <c r="F23" s="42">
        <f>SUM(F5:F22)</f>
        <v>43211815.160395503</v>
      </c>
      <c r="G23" s="43">
        <f t="shared" ref="G23" si="7">SUM(C23:F23)</f>
        <v>165466510.60754234</v>
      </c>
      <c r="J23" s="36" t="s">
        <v>232</v>
      </c>
      <c r="K23" s="37">
        <v>3.1800318003180001E-3</v>
      </c>
      <c r="M23" s="22" t="s">
        <v>89</v>
      </c>
      <c r="N23" s="61">
        <f>($C$5+$D$5+$E$5)*Table5[[#This Row],[Locality''s Allocation Percentage ]]</f>
        <v>12930.992516808352</v>
      </c>
      <c r="O23" s="61">
        <f>$F$5*Table5[[#This Row],[Locality''s Allocation Percentage ]]</f>
        <v>0</v>
      </c>
      <c r="P23" s="61">
        <f t="shared" si="1"/>
        <v>0</v>
      </c>
      <c r="Q23" s="61">
        <f>($C$6+$D$6+$E$6)*Table5[[#This Row],[Locality''s Allocation Percentage ]]</f>
        <v>81860.232472914053</v>
      </c>
      <c r="R23" s="61">
        <f>$F$6*Table5[[#This Row],[Locality''s Allocation Percentage ]]</f>
        <v>29621.328460375687</v>
      </c>
      <c r="S23" s="61">
        <f t="shared" si="2"/>
        <v>7405.3321150939219</v>
      </c>
      <c r="T23" s="76">
        <f>($C$7+$D$7+$E$7)*Table5[[#This Row],[Locality''s Allocation Percentage ]]</f>
        <v>13589.842741358641</v>
      </c>
      <c r="U23" s="76">
        <f>$F$7*Table5[[#This Row],[Locality''s Allocation Percentage ]]</f>
        <v>4982.9423384981683</v>
      </c>
      <c r="V23" s="76">
        <f t="shared" si="3"/>
        <v>1245.7355846245421</v>
      </c>
    </row>
    <row r="24" spans="2:22" s="19" customFormat="1" ht="18" customHeight="1" x14ac:dyDescent="0.25">
      <c r="B24" s="248" t="s">
        <v>233</v>
      </c>
      <c r="C24" s="249"/>
      <c r="D24" s="249"/>
      <c r="E24" s="249"/>
      <c r="F24" s="249"/>
      <c r="G24" s="250"/>
      <c r="J24" s="36" t="s">
        <v>234</v>
      </c>
      <c r="K24" s="37">
        <v>4.4000440004400001E-3</v>
      </c>
      <c r="M24" s="22" t="s">
        <v>90</v>
      </c>
      <c r="N24" s="61">
        <f>($C$5+$D$5+$E$5)*Table5[[#This Row],[Locality''s Allocation Percentage ]]</f>
        <v>17891.939331432939</v>
      </c>
      <c r="O24" s="61">
        <f>$F$5*Table5[[#This Row],[Locality''s Allocation Percentage ]]</f>
        <v>0</v>
      </c>
      <c r="P24" s="61">
        <f t="shared" si="1"/>
        <v>0</v>
      </c>
      <c r="Q24" s="61">
        <f>($C$6+$D$6+$E$6)*Table5[[#This Row],[Locality''s Allocation Percentage ]]</f>
        <v>113265.73046566723</v>
      </c>
      <c r="R24" s="61">
        <f>$F$6*Table5[[#This Row],[Locality''s Allocation Percentage ]]</f>
        <v>40985.485920016676</v>
      </c>
      <c r="S24" s="61">
        <f t="shared" si="2"/>
        <v>10246.371480004169</v>
      </c>
      <c r="T24" s="76">
        <f>($C$7+$D$7+$E$7)*Table5[[#This Row],[Locality''s Allocation Percentage ]]</f>
        <v>18803.555994332713</v>
      </c>
      <c r="U24" s="76">
        <f>$F$7*Table5[[#This Row],[Locality''s Allocation Percentage ]]</f>
        <v>6894.6371979219948</v>
      </c>
      <c r="V24" s="76">
        <f t="shared" si="3"/>
        <v>1723.6592994804987</v>
      </c>
    </row>
    <row r="25" spans="2:22" s="19" customFormat="1" ht="18" customHeight="1" x14ac:dyDescent="0.25">
      <c r="B25" s="248"/>
      <c r="C25" s="249"/>
      <c r="D25" s="249"/>
      <c r="E25" s="249"/>
      <c r="F25" s="249"/>
      <c r="G25" s="250"/>
      <c r="J25" s="36" t="s">
        <v>235</v>
      </c>
      <c r="K25" s="37">
        <v>7.3000730007300005E-4</v>
      </c>
      <c r="M25" s="22" t="s">
        <v>91</v>
      </c>
      <c r="N25" s="61">
        <f>($C$5+$D$5+$E$5)*Table5[[#This Row],[Locality''s Allocation Percentage ]]</f>
        <v>2968.4353890786469</v>
      </c>
      <c r="O25" s="61">
        <f>$F$5*Table5[[#This Row],[Locality''s Allocation Percentage ]]</f>
        <v>0</v>
      </c>
      <c r="P25" s="61">
        <f t="shared" si="1"/>
        <v>0</v>
      </c>
      <c r="Q25" s="61">
        <f>($C$6+$D$6+$E$6)*Table5[[#This Row],[Locality''s Allocation Percentage ]]</f>
        <v>18791.814372712975</v>
      </c>
      <c r="R25" s="61">
        <f>$F$6*Table5[[#This Row],[Locality''s Allocation Percentage ]]</f>
        <v>6799.8647094573125</v>
      </c>
      <c r="S25" s="61">
        <f t="shared" si="2"/>
        <v>1699.9661773643281</v>
      </c>
      <c r="T25" s="76">
        <f>($C$7+$D$7+$E$7)*Table5[[#This Row],[Locality''s Allocation Percentage ]]</f>
        <v>3119.6808808779274</v>
      </c>
      <c r="U25" s="76">
        <f>$F$7*Table5[[#This Row],[Locality''s Allocation Percentage ]]</f>
        <v>1143.88298965524</v>
      </c>
      <c r="V25" s="76">
        <f t="shared" si="3"/>
        <v>285.97074741380999</v>
      </c>
    </row>
    <row r="26" spans="2:22" s="19" customFormat="1" ht="18" customHeight="1" x14ac:dyDescent="0.25">
      <c r="B26" s="248"/>
      <c r="C26" s="249"/>
      <c r="D26" s="249"/>
      <c r="E26" s="249"/>
      <c r="F26" s="249"/>
      <c r="G26" s="250"/>
      <c r="H26" s="35">
        <f>G5*K41</f>
        <v>352633.85882315144</v>
      </c>
      <c r="J26" s="36" t="s">
        <v>236</v>
      </c>
      <c r="K26" s="37">
        <v>1.3800138001379999E-3</v>
      </c>
      <c r="M26" s="22" t="s">
        <v>92</v>
      </c>
      <c r="N26" s="61">
        <f>($C$5+$D$5+$E$5)*Table5[[#This Row],[Locality''s Allocation Percentage ]]</f>
        <v>5611.562790313058</v>
      </c>
      <c r="O26" s="61">
        <f>$F$5*Table5[[#This Row],[Locality''s Allocation Percentage ]]</f>
        <v>0</v>
      </c>
      <c r="P26" s="61">
        <f t="shared" si="1"/>
        <v>0</v>
      </c>
      <c r="Q26" s="61">
        <f>($C$6+$D$6+$E$6)*Table5[[#This Row],[Locality''s Allocation Percentage ]]</f>
        <v>35524.251827868356</v>
      </c>
      <c r="R26" s="61">
        <f>$F$6*Table5[[#This Row],[Locality''s Allocation Percentage ]]</f>
        <v>12854.53876582341</v>
      </c>
      <c r="S26" s="61">
        <f t="shared" si="2"/>
        <v>3213.6346914558526</v>
      </c>
      <c r="T26" s="76">
        <f>($C$7+$D$7+$E$7)*Table5[[#This Row],[Locality''s Allocation Percentage ]]</f>
        <v>5897.4789254952593</v>
      </c>
      <c r="U26" s="76">
        <f>$F$7*Table5[[#This Row],[Locality''s Allocation Percentage ]]</f>
        <v>2162.4089393482618</v>
      </c>
      <c r="V26" s="76">
        <f t="shared" si="3"/>
        <v>540.60223483706545</v>
      </c>
    </row>
    <row r="27" spans="2:22" s="19" customFormat="1" ht="18" customHeight="1" x14ac:dyDescent="0.25">
      <c r="B27" s="248"/>
      <c r="C27" s="249"/>
      <c r="D27" s="249"/>
      <c r="E27" s="249"/>
      <c r="F27" s="249"/>
      <c r="G27" s="250"/>
      <c r="J27" s="36" t="s">
        <v>93</v>
      </c>
      <c r="K27" s="37">
        <v>4.6300463004629996E-3</v>
      </c>
      <c r="M27" s="22" t="s">
        <v>93</v>
      </c>
      <c r="N27" s="61">
        <f>($C$5+$D$5+$E$5)*Table5[[#This Row],[Locality''s Allocation Percentage ]]</f>
        <v>18827.199796485114</v>
      </c>
      <c r="O27" s="61">
        <f>$F$5*Table5[[#This Row],[Locality''s Allocation Percentage ]]</f>
        <v>0</v>
      </c>
      <c r="P27" s="61">
        <f t="shared" si="1"/>
        <v>0</v>
      </c>
      <c r="Q27" s="61">
        <f>($C$6+$D$6+$E$6)*Table5[[#This Row],[Locality''s Allocation Percentage ]]</f>
        <v>119186.43910364529</v>
      </c>
      <c r="R27" s="61">
        <f>$F$6*Table5[[#This Row],[Locality''s Allocation Percentage ]]</f>
        <v>43127.909047653906</v>
      </c>
      <c r="S27" s="61">
        <f t="shared" si="2"/>
        <v>10781.977261913476</v>
      </c>
      <c r="T27" s="76">
        <f>($C$7+$D$7+$E$7)*Table5[[#This Row],[Locality''s Allocation Percentage ]]</f>
        <v>19786.46914858192</v>
      </c>
      <c r="U27" s="76">
        <f>$F$7*Table5[[#This Row],[Locality''s Allocation Percentage ]]</f>
        <v>7255.0386878133704</v>
      </c>
      <c r="V27" s="76">
        <f t="shared" si="3"/>
        <v>1813.7596719533426</v>
      </c>
    </row>
    <row r="28" spans="2:22" s="19" customFormat="1" ht="18" customHeight="1" thickBot="1" x14ac:dyDescent="0.3">
      <c r="B28" s="251"/>
      <c r="C28" s="252"/>
      <c r="D28" s="252"/>
      <c r="E28" s="252"/>
      <c r="F28" s="252"/>
      <c r="G28" s="253"/>
      <c r="J28" s="36" t="s">
        <v>94</v>
      </c>
      <c r="K28" s="37">
        <v>2.9120291202911999E-2</v>
      </c>
      <c r="M28" s="22" t="s">
        <v>94</v>
      </c>
      <c r="N28" s="61">
        <f>($C$5+$D$5+$E$5)*Table5[[#This Row],[Locality''s Allocation Percentage ]]</f>
        <v>118412.10757530163</v>
      </c>
      <c r="O28" s="61">
        <f>$F$5*Table5[[#This Row],[Locality''s Allocation Percentage ]]</f>
        <v>0</v>
      </c>
      <c r="P28" s="61">
        <f t="shared" si="1"/>
        <v>0</v>
      </c>
      <c r="Q28" s="61">
        <f>($C$6+$D$6+$E$6)*Table5[[#This Row],[Locality''s Allocation Percentage ]]</f>
        <v>749613.19799096126</v>
      </c>
      <c r="R28" s="61">
        <f>$F$6*Table5[[#This Row],[Locality''s Allocation Percentage ]]</f>
        <v>271249.39772520127</v>
      </c>
      <c r="S28" s="61">
        <f t="shared" si="2"/>
        <v>67812.349431300318</v>
      </c>
      <c r="T28" s="76">
        <f>($C$7+$D$7+$E$7)*Table5[[#This Row],[Locality''s Allocation Percentage ]]</f>
        <v>124445.35239885648</v>
      </c>
      <c r="U28" s="76">
        <f>$F$7*Table5[[#This Row],[Locality''s Allocation Percentage ]]</f>
        <v>45629.962546247378</v>
      </c>
      <c r="V28" s="76">
        <f t="shared" si="3"/>
        <v>11407.490636561844</v>
      </c>
    </row>
    <row r="29" spans="2:22" s="19" customFormat="1" ht="18" customHeight="1" x14ac:dyDescent="0.25">
      <c r="J29" s="36" t="s">
        <v>237</v>
      </c>
      <c r="K29" s="37">
        <v>4.0880408804087998E-2</v>
      </c>
      <c r="M29" s="22" t="s">
        <v>95</v>
      </c>
      <c r="N29" s="61">
        <f>($C$5+$D$5+$E$5)*Table5[[#This Row],[Locality''s Allocation Percentage ]]</f>
        <v>166232.38178840419</v>
      </c>
      <c r="O29" s="61">
        <f>$F$5*Table5[[#This Row],[Locality''s Allocation Percentage ]]</f>
        <v>0</v>
      </c>
      <c r="P29" s="61">
        <f t="shared" si="1"/>
        <v>0</v>
      </c>
      <c r="Q29" s="61">
        <f>($C$6+$D$6+$E$6)*Table5[[#This Row],[Locality''s Allocation Percentage ]]</f>
        <v>1052341.6048719264</v>
      </c>
      <c r="R29" s="61">
        <f>$F$6*Table5[[#This Row],[Locality''s Allocation Percentage ]]</f>
        <v>380792.42372960947</v>
      </c>
      <c r="S29" s="61">
        <f t="shared" si="2"/>
        <v>95198.105932402366</v>
      </c>
      <c r="T29" s="76">
        <f>($C$7+$D$7+$E$7)*Table5[[#This Row],[Locality''s Allocation Percentage ]]</f>
        <v>174702.1293291639</v>
      </c>
      <c r="U29" s="76">
        <f>$F$7*Table5[[#This Row],[Locality''s Allocation Percentage ]]</f>
        <v>64057.447420693432</v>
      </c>
      <c r="V29" s="76">
        <f t="shared" si="3"/>
        <v>16014.361855173358</v>
      </c>
    </row>
    <row r="30" spans="2:22" s="19" customFormat="1" ht="18" customHeight="1" thickBot="1" x14ac:dyDescent="0.3">
      <c r="H30" s="19" t="s">
        <v>238</v>
      </c>
      <c r="J30" s="36" t="s">
        <v>239</v>
      </c>
      <c r="K30" s="37">
        <v>1.250012500125E-3</v>
      </c>
      <c r="M30" s="22" t="s">
        <v>96</v>
      </c>
      <c r="N30" s="61">
        <f>($C$5+$D$5+$E$5)*Table5[[#This Row],[Locality''s Allocation Percentage ]]</f>
        <v>5082.937310066176</v>
      </c>
      <c r="O30" s="61">
        <f>$F$5*Table5[[#This Row],[Locality''s Allocation Percentage ]]</f>
        <v>0</v>
      </c>
      <c r="P30" s="61">
        <f t="shared" si="1"/>
        <v>0</v>
      </c>
      <c r="Q30" s="61">
        <f>($C$6+$D$6+$E$6)*Table5[[#This Row],[Locality''s Allocation Percentage ]]</f>
        <v>32177.764336837281</v>
      </c>
      <c r="R30" s="61">
        <f>$F$6*Table5[[#This Row],[Locality''s Allocation Percentage ]]</f>
        <v>11643.603954550192</v>
      </c>
      <c r="S30" s="61">
        <f t="shared" si="2"/>
        <v>2910.9009886375479</v>
      </c>
      <c r="T30" s="76">
        <f>($C$7+$D$7+$E$7)*Table5[[#This Row],[Locality''s Allocation Percentage ]]</f>
        <v>5341.9193165717934</v>
      </c>
      <c r="U30" s="76">
        <f>$F$7*Table5[[#This Row],[Locality''s Allocation Percentage ]]</f>
        <v>1958.7037494096573</v>
      </c>
      <c r="V30" s="76">
        <f t="shared" si="3"/>
        <v>489.67593735241434</v>
      </c>
    </row>
    <row r="31" spans="2:22" s="19" customFormat="1" ht="18" customHeight="1" x14ac:dyDescent="0.25">
      <c r="B31" s="254" t="s">
        <v>240</v>
      </c>
      <c r="C31" s="255"/>
      <c r="D31" s="255"/>
      <c r="E31" s="255"/>
      <c r="F31" s="256"/>
      <c r="H31" s="23">
        <v>24594461.260000002</v>
      </c>
      <c r="J31" s="36" t="s">
        <v>97</v>
      </c>
      <c r="K31" s="37">
        <v>2.8300283002829999E-3</v>
      </c>
      <c r="M31" s="22" t="s">
        <v>97</v>
      </c>
      <c r="N31" s="61">
        <f>($C$5+$D$5+$E$5)*Table5[[#This Row],[Locality''s Allocation Percentage ]]</f>
        <v>11507.770069989821</v>
      </c>
      <c r="O31" s="61">
        <f>$F$5*Table5[[#This Row],[Locality''s Allocation Percentage ]]</f>
        <v>0</v>
      </c>
      <c r="P31" s="61">
        <f t="shared" si="1"/>
        <v>0</v>
      </c>
      <c r="Q31" s="61">
        <f>($C$6+$D$6+$E$6)*Table5[[#This Row],[Locality''s Allocation Percentage ]]</f>
        <v>72850.458458599605</v>
      </c>
      <c r="R31" s="61">
        <f>$F$6*Table5[[#This Row],[Locality''s Allocation Percentage ]]</f>
        <v>26361.119353101632</v>
      </c>
      <c r="S31" s="61">
        <f t="shared" si="2"/>
        <v>6590.2798382754081</v>
      </c>
      <c r="T31" s="76">
        <f>($C$7+$D$7+$E$7)*Table5[[#This Row],[Locality''s Allocation Percentage ]]</f>
        <v>12094.10533271854</v>
      </c>
      <c r="U31" s="76">
        <f>$F$7*Table5[[#This Row],[Locality''s Allocation Percentage ]]</f>
        <v>4434.5052886634639</v>
      </c>
      <c r="V31" s="76">
        <f t="shared" si="3"/>
        <v>1108.626322165866</v>
      </c>
    </row>
    <row r="32" spans="2:22" s="19" customFormat="1" ht="18" customHeight="1" thickBot="1" x14ac:dyDescent="0.3">
      <c r="B32" s="257"/>
      <c r="C32" s="258"/>
      <c r="D32" s="258"/>
      <c r="E32" s="258"/>
      <c r="F32" s="259"/>
      <c r="J32" s="36" t="s">
        <v>98</v>
      </c>
      <c r="K32" s="37">
        <v>1.0000100001E-3</v>
      </c>
      <c r="M32" s="22" t="s">
        <v>98</v>
      </c>
      <c r="N32" s="61">
        <f>($C$5+$D$5+$E$5)*Table5[[#This Row],[Locality''s Allocation Percentage ]]</f>
        <v>4066.3498480529406</v>
      </c>
      <c r="O32" s="61">
        <f>$F$5*Table5[[#This Row],[Locality''s Allocation Percentage ]]</f>
        <v>0</v>
      </c>
      <c r="P32" s="61">
        <f t="shared" si="1"/>
        <v>0</v>
      </c>
      <c r="Q32" s="61">
        <f>($C$6+$D$6+$E$6)*Table5[[#This Row],[Locality''s Allocation Percentage ]]</f>
        <v>25742.211469469825</v>
      </c>
      <c r="R32" s="61">
        <f>$F$6*Table5[[#This Row],[Locality''s Allocation Percentage ]]</f>
        <v>9314.8831636401537</v>
      </c>
      <c r="S32" s="61">
        <f t="shared" si="2"/>
        <v>2328.7207909100384</v>
      </c>
      <c r="T32" s="76">
        <f>($C$7+$D$7+$E$7)*Table5[[#This Row],[Locality''s Allocation Percentage ]]</f>
        <v>4273.5354532574347</v>
      </c>
      <c r="U32" s="76">
        <f>$F$7*Table5[[#This Row],[Locality''s Allocation Percentage ]]</f>
        <v>1566.962999527726</v>
      </c>
      <c r="V32" s="76">
        <f t="shared" si="3"/>
        <v>391.74074988193149</v>
      </c>
    </row>
    <row r="33" spans="2:22" s="19" customFormat="1" ht="19.5" customHeight="1" thickBot="1" x14ac:dyDescent="0.3">
      <c r="B33" s="16" t="s">
        <v>49</v>
      </c>
      <c r="C33" s="17" t="s">
        <v>40</v>
      </c>
      <c r="D33" s="17" t="s">
        <v>41</v>
      </c>
      <c r="E33" s="17" t="s">
        <v>50</v>
      </c>
      <c r="F33" s="18" t="s">
        <v>241</v>
      </c>
      <c r="J33" s="36" t="s">
        <v>242</v>
      </c>
      <c r="K33" s="37">
        <v>7.0000700006999999E-4</v>
      </c>
      <c r="M33" s="22" t="s">
        <v>99</v>
      </c>
      <c r="N33" s="61">
        <f>($C$5+$D$5+$E$5)*Table5[[#This Row],[Locality''s Allocation Percentage ]]</f>
        <v>2846.4448936370586</v>
      </c>
      <c r="O33" s="61">
        <f>$F$5*Table5[[#This Row],[Locality''s Allocation Percentage ]]</f>
        <v>0</v>
      </c>
      <c r="P33" s="61">
        <f t="shared" si="1"/>
        <v>0</v>
      </c>
      <c r="Q33" s="61">
        <f>($C$6+$D$6+$E$6)*Table5[[#This Row],[Locality''s Allocation Percentage ]]</f>
        <v>18019.548028628877</v>
      </c>
      <c r="R33" s="61">
        <f>$F$6*Table5[[#This Row],[Locality''s Allocation Percentage ]]</f>
        <v>6520.4182145481072</v>
      </c>
      <c r="S33" s="61">
        <f t="shared" si="2"/>
        <v>1630.1045536370268</v>
      </c>
      <c r="T33" s="76">
        <f>($C$7+$D$7+$E$7)*Table5[[#This Row],[Locality''s Allocation Percentage ]]</f>
        <v>2991.4748172802042</v>
      </c>
      <c r="U33" s="76">
        <f>$F$7*Table5[[#This Row],[Locality''s Allocation Percentage ]]</f>
        <v>1096.8740996694082</v>
      </c>
      <c r="V33" s="76">
        <f t="shared" si="3"/>
        <v>274.21852491735206</v>
      </c>
    </row>
    <row r="34" spans="2:22" s="19" customFormat="1" ht="18" customHeight="1" x14ac:dyDescent="0.25">
      <c r="B34" s="44" t="s">
        <v>55</v>
      </c>
      <c r="C34" s="45">
        <f>SUM('[1]Dist - VA Totals'!B19:B20)</f>
        <v>18072485.264686506</v>
      </c>
      <c r="D34" s="45">
        <v>0</v>
      </c>
      <c r="E34" s="46">
        <v>0</v>
      </c>
      <c r="F34" s="47">
        <f>SUM(C34:E34)</f>
        <v>18072485.264686506</v>
      </c>
      <c r="H34" s="19" t="s">
        <v>243</v>
      </c>
      <c r="J34" s="36" t="s">
        <v>244</v>
      </c>
      <c r="K34" s="37">
        <v>7.9000790007900095E-3</v>
      </c>
      <c r="M34" s="22" t="s">
        <v>100</v>
      </c>
      <c r="N34" s="61">
        <f>($C$5+$D$5+$E$5)*Table5[[#This Row],[Locality''s Allocation Percentage ]]</f>
        <v>32124.163799618269</v>
      </c>
      <c r="O34" s="61">
        <f>$F$5*Table5[[#This Row],[Locality''s Allocation Percentage ]]</f>
        <v>0</v>
      </c>
      <c r="P34" s="61">
        <f t="shared" si="1"/>
        <v>0</v>
      </c>
      <c r="Q34" s="61">
        <f>($C$6+$D$6+$E$6)*Table5[[#This Row],[Locality''s Allocation Percentage ]]</f>
        <v>203363.47060881185</v>
      </c>
      <c r="R34" s="61">
        <f>$F$6*Table5[[#This Row],[Locality''s Allocation Percentage ]]</f>
        <v>73587.576992757298</v>
      </c>
      <c r="S34" s="61">
        <f t="shared" si="2"/>
        <v>18396.894248189325</v>
      </c>
      <c r="T34" s="76">
        <f>($C$7+$D$7+$E$7)*Table5[[#This Row],[Locality''s Allocation Percentage ]]</f>
        <v>33760.930080733771</v>
      </c>
      <c r="U34" s="76">
        <f>$F$7*Table5[[#This Row],[Locality''s Allocation Percentage ]]</f>
        <v>12379.007696269049</v>
      </c>
      <c r="V34" s="76">
        <f t="shared" si="3"/>
        <v>3094.7519240672623</v>
      </c>
    </row>
    <row r="35" spans="2:22" s="19" customFormat="1" ht="18" customHeight="1" x14ac:dyDescent="0.25">
      <c r="B35" s="48" t="s">
        <v>57</v>
      </c>
      <c r="C35" s="32">
        <f>SUM('[1]Dist - VA Totals'!C19:C20)</f>
        <v>18993300.96845736</v>
      </c>
      <c r="D35" s="49">
        <f>SUM('[1]Jan - VA Totals'!B21,'[1]Jan - VA Totals'!C21,'[1]Jan - VA Totals'!D22,'[1]Jan - VA Totals'!E21,'[1]Jan - VA Totals'!E22,'[1]Jan - VA Totals'!F21,'[1]Jan - VA Totals'!F22)</f>
        <v>72352183.330898881</v>
      </c>
      <c r="E35" s="50">
        <v>3488576.07</v>
      </c>
      <c r="F35" s="51">
        <f>SUM(C35:E35)</f>
        <v>94834060.36935623</v>
      </c>
      <c r="H35" s="35">
        <f>E6/0.3</f>
        <v>3488576.0666666664</v>
      </c>
      <c r="J35" s="36" t="s">
        <v>245</v>
      </c>
      <c r="K35" s="37">
        <v>1.0000100001E-3</v>
      </c>
      <c r="M35" s="22" t="s">
        <v>101</v>
      </c>
      <c r="N35" s="61">
        <f>($C$5+$D$5+$E$5)*Table5[[#This Row],[Locality''s Allocation Percentage ]]</f>
        <v>4066.3498480529406</v>
      </c>
      <c r="O35" s="61">
        <f>$F$5*Table5[[#This Row],[Locality''s Allocation Percentage ]]</f>
        <v>0</v>
      </c>
      <c r="P35" s="61">
        <f t="shared" si="1"/>
        <v>0</v>
      </c>
      <c r="Q35" s="61">
        <f>($C$6+$D$6+$E$6)*Table5[[#This Row],[Locality''s Allocation Percentage ]]</f>
        <v>25742.211469469825</v>
      </c>
      <c r="R35" s="61">
        <f>$F$6*Table5[[#This Row],[Locality''s Allocation Percentage ]]</f>
        <v>9314.8831636401537</v>
      </c>
      <c r="S35" s="61">
        <f t="shared" si="2"/>
        <v>2328.7207909100384</v>
      </c>
      <c r="T35" s="76">
        <f>($C$7+$D$7+$E$7)*Table5[[#This Row],[Locality''s Allocation Percentage ]]</f>
        <v>4273.5354532574347</v>
      </c>
      <c r="U35" s="76">
        <f>$F$7*Table5[[#This Row],[Locality''s Allocation Percentage ]]</f>
        <v>1566.962999527726</v>
      </c>
      <c r="V35" s="76">
        <f t="shared" si="3"/>
        <v>391.74074988193149</v>
      </c>
    </row>
    <row r="36" spans="2:22" s="19" customFormat="1" ht="18" customHeight="1" x14ac:dyDescent="0.25">
      <c r="B36" s="48" t="s">
        <v>59</v>
      </c>
      <c r="C36" s="32">
        <f>SUM('[1]Dist - VA Totals'!D19,'[1]Dist - VA Totals'!D20)</f>
        <v>18993300.96845736</v>
      </c>
      <c r="D36" s="49">
        <v>0</v>
      </c>
      <c r="E36" s="50">
        <v>0</v>
      </c>
      <c r="F36" s="51">
        <f t="shared" ref="F36:F51" si="8">SUM(C36:E36)</f>
        <v>18993300.96845736</v>
      </c>
      <c r="J36" s="36" t="s">
        <v>102</v>
      </c>
      <c r="K36" s="37">
        <v>6.3700637006370098E-3</v>
      </c>
      <c r="M36" s="22" t="s">
        <v>102</v>
      </c>
      <c r="N36" s="61">
        <f>($C$5+$D$5+$E$5)*Table5[[#This Row],[Locality''s Allocation Percentage ]]</f>
        <v>25902.648532097272</v>
      </c>
      <c r="O36" s="61">
        <f>$F$5*Table5[[#This Row],[Locality''s Allocation Percentage ]]</f>
        <v>0</v>
      </c>
      <c r="P36" s="61">
        <f t="shared" si="1"/>
        <v>0</v>
      </c>
      <c r="Q36" s="61">
        <f>($C$6+$D$6+$E$6)*Table5[[#This Row],[Locality''s Allocation Percentage ]]</f>
        <v>163977.88706052303</v>
      </c>
      <c r="R36" s="61">
        <f>$F$6*Table5[[#This Row],[Locality''s Allocation Percentage ]]</f>
        <v>59335.805752387867</v>
      </c>
      <c r="S36" s="61">
        <f t="shared" si="2"/>
        <v>14833.951438096967</v>
      </c>
      <c r="T36" s="76">
        <f>($C$7+$D$7+$E$7)*Table5[[#This Row],[Locality''s Allocation Percentage ]]</f>
        <v>27222.420837249902</v>
      </c>
      <c r="U36" s="76">
        <f>$F$7*Table5[[#This Row],[Locality''s Allocation Percentage ]]</f>
        <v>9981.5543069916293</v>
      </c>
      <c r="V36" s="76">
        <f t="shared" si="3"/>
        <v>2495.3885767479073</v>
      </c>
    </row>
    <row r="37" spans="2:22" s="19" customFormat="1" ht="18" customHeight="1" x14ac:dyDescent="0.25">
      <c r="B37" s="48" t="s">
        <v>61</v>
      </c>
      <c r="C37" s="32">
        <f>SUM('[1]Dist - VA Totals'!E19,'[1]Dist - VA Totals'!E20)</f>
        <v>23772806.682994787</v>
      </c>
      <c r="D37" s="49">
        <v>0</v>
      </c>
      <c r="E37" s="50">
        <v>0</v>
      </c>
      <c r="F37" s="51">
        <f t="shared" si="8"/>
        <v>23772806.682994787</v>
      </c>
      <c r="J37" s="36" t="s">
        <v>246</v>
      </c>
      <c r="K37" s="37">
        <v>9.4800948009480107E-3</v>
      </c>
      <c r="M37" s="22" t="s">
        <v>103</v>
      </c>
      <c r="N37" s="61">
        <f>($C$5+$D$5+$E$5)*Table5[[#This Row],[Locality''s Allocation Percentage ]]</f>
        <v>38548.99655954192</v>
      </c>
      <c r="O37" s="61">
        <f>$F$5*Table5[[#This Row],[Locality''s Allocation Percentage ]]</f>
        <v>0</v>
      </c>
      <c r="P37" s="61">
        <f t="shared" si="1"/>
        <v>0</v>
      </c>
      <c r="Q37" s="61">
        <f>($C$6+$D$6+$E$6)*Table5[[#This Row],[Locality''s Allocation Percentage ]]</f>
        <v>244036.16473057421</v>
      </c>
      <c r="R37" s="61">
        <f>$F$6*Table5[[#This Row],[Locality''s Allocation Percentage ]]</f>
        <v>88305.092391308746</v>
      </c>
      <c r="S37" s="61">
        <f t="shared" si="2"/>
        <v>22076.273097827187</v>
      </c>
      <c r="T37" s="76">
        <f>($C$7+$D$7+$E$7)*Table5[[#This Row],[Locality''s Allocation Percentage ]]</f>
        <v>40513.116096880527</v>
      </c>
      <c r="U37" s="76">
        <f>$F$7*Table5[[#This Row],[Locality''s Allocation Percentage ]]</f>
        <v>14854.809235522858</v>
      </c>
      <c r="V37" s="76">
        <f t="shared" si="3"/>
        <v>3713.7023088807146</v>
      </c>
    </row>
    <row r="38" spans="2:22" s="19" customFormat="1" ht="18" customHeight="1" x14ac:dyDescent="0.25">
      <c r="B38" s="48" t="s">
        <v>63</v>
      </c>
      <c r="C38" s="32">
        <f>SUM('[1]Dist - VA Totals'!F19,'[1]Dist - VA Totals'!F20)</f>
        <v>23772806.682766777</v>
      </c>
      <c r="D38" s="32">
        <v>0</v>
      </c>
      <c r="E38" s="52">
        <v>0</v>
      </c>
      <c r="F38" s="51">
        <f t="shared" si="8"/>
        <v>23772806.682766777</v>
      </c>
      <c r="H38" s="35">
        <f>E35*0.55</f>
        <v>1918716.8385000001</v>
      </c>
      <c r="J38" s="36" t="s">
        <v>247</v>
      </c>
      <c r="K38" s="37">
        <v>1.960019600196E-3</v>
      </c>
      <c r="M38" s="22" t="s">
        <v>104</v>
      </c>
      <c r="N38" s="61">
        <f>($C$5+$D$5+$E$5)*Table5[[#This Row],[Locality''s Allocation Percentage ]]</f>
        <v>7970.0457021837638</v>
      </c>
      <c r="O38" s="61">
        <f>$F$5*Table5[[#This Row],[Locality''s Allocation Percentage ]]</f>
        <v>0</v>
      </c>
      <c r="P38" s="61">
        <f t="shared" si="1"/>
        <v>0</v>
      </c>
      <c r="Q38" s="61">
        <f>($C$6+$D$6+$E$6)*Table5[[#This Row],[Locality''s Allocation Percentage ]]</f>
        <v>50454.734480160856</v>
      </c>
      <c r="R38" s="61">
        <f>$F$6*Table5[[#This Row],[Locality''s Allocation Percentage ]]</f>
        <v>18257.171000734699</v>
      </c>
      <c r="S38" s="61">
        <f t="shared" si="2"/>
        <v>4564.2927501836748</v>
      </c>
      <c r="T38" s="76">
        <f>($C$7+$D$7+$E$7)*Table5[[#This Row],[Locality''s Allocation Percentage ]]</f>
        <v>8376.1294883845712</v>
      </c>
      <c r="U38" s="76">
        <f>$F$7*Table5[[#This Row],[Locality''s Allocation Percentage ]]</f>
        <v>3071.2474790743427</v>
      </c>
      <c r="V38" s="76">
        <f t="shared" si="3"/>
        <v>767.81186976858567</v>
      </c>
    </row>
    <row r="39" spans="2:22" s="19" customFormat="1" ht="18" customHeight="1" x14ac:dyDescent="0.25">
      <c r="B39" s="48" t="s">
        <v>65</v>
      </c>
      <c r="C39" s="32">
        <f>SUM('[1]Dist - VA Totals'!G19,'[1]Dist - VA Totals'!G20,'[1]Dist - VA Totals'!G23)</f>
        <v>23772806.682538766</v>
      </c>
      <c r="D39" s="49">
        <f>SUM('[1]Jan - VA Totals'!G21,'[1]Jan - VA Totals'!G22)</f>
        <v>3649221.3226667857</v>
      </c>
      <c r="E39" s="50">
        <v>0</v>
      </c>
      <c r="F39" s="51">
        <f t="shared" si="8"/>
        <v>27422028.005205553</v>
      </c>
      <c r="G39" s="35"/>
      <c r="J39" s="36" t="s">
        <v>105</v>
      </c>
      <c r="K39" s="37">
        <v>5.0000500005000002E-4</v>
      </c>
      <c r="M39" s="22" t="s">
        <v>105</v>
      </c>
      <c r="N39" s="61">
        <f>($C$5+$D$5+$E$5)*Table5[[#This Row],[Locality''s Allocation Percentage ]]</f>
        <v>2033.1749240264703</v>
      </c>
      <c r="O39" s="61">
        <f>$F$5*Table5[[#This Row],[Locality''s Allocation Percentage ]]</f>
        <v>0</v>
      </c>
      <c r="P39" s="61">
        <f t="shared" si="1"/>
        <v>0</v>
      </c>
      <c r="Q39" s="61">
        <f>($C$6+$D$6+$E$6)*Table5[[#This Row],[Locality''s Allocation Percentage ]]</f>
        <v>12871.105734734912</v>
      </c>
      <c r="R39" s="61">
        <f>$F$6*Table5[[#This Row],[Locality''s Allocation Percentage ]]</f>
        <v>4657.4415818200769</v>
      </c>
      <c r="S39" s="61">
        <f t="shared" si="2"/>
        <v>1164.3603954550192</v>
      </c>
      <c r="T39" s="76">
        <f>($C$7+$D$7+$E$7)*Table5[[#This Row],[Locality''s Allocation Percentage ]]</f>
        <v>2136.7677266287174</v>
      </c>
      <c r="U39" s="76">
        <f>$F$7*Table5[[#This Row],[Locality''s Allocation Percentage ]]</f>
        <v>783.48149976386298</v>
      </c>
      <c r="V39" s="76">
        <f t="shared" si="3"/>
        <v>195.87037494096575</v>
      </c>
    </row>
    <row r="40" spans="2:22" s="19" customFormat="1" ht="18" customHeight="1" x14ac:dyDescent="0.25">
      <c r="B40" s="48" t="s">
        <v>66</v>
      </c>
      <c r="C40" s="32">
        <f>SUM('[1]Dist - VA Totals'!H19,'[1]Dist - VA Totals'!H20,'[1]Dist - VA Totals'!H23)</f>
        <v>23772806.682538766</v>
      </c>
      <c r="D40" s="49">
        <f>SUM('[1]Jan - VA Totals'!H21,'[1]Jan - VA Totals'!H22,'[1]Jan - VA Totals'!H25)</f>
        <v>3649221.2998656346</v>
      </c>
      <c r="E40" s="50">
        <v>0</v>
      </c>
      <c r="F40" s="51">
        <f t="shared" si="8"/>
        <v>27422027.9824044</v>
      </c>
      <c r="G40" s="35"/>
      <c r="H40" s="53">
        <f>H31*0.15</f>
        <v>3689169.1890000002</v>
      </c>
      <c r="J40" s="36" t="s">
        <v>248</v>
      </c>
      <c r="K40" s="37">
        <v>1.010010100101E-3</v>
      </c>
      <c r="M40" s="22" t="s">
        <v>106</v>
      </c>
      <c r="N40" s="61">
        <f>($C$5+$D$5+$E$5)*Table5[[#This Row],[Locality''s Allocation Percentage ]]</f>
        <v>4107.0133465334702</v>
      </c>
      <c r="O40" s="61">
        <f>$F$5*Table5[[#This Row],[Locality''s Allocation Percentage ]]</f>
        <v>0</v>
      </c>
      <c r="P40" s="61">
        <f t="shared" si="1"/>
        <v>0</v>
      </c>
      <c r="Q40" s="61">
        <f>($C$6+$D$6+$E$6)*Table5[[#This Row],[Locality''s Allocation Percentage ]]</f>
        <v>25999.633584164523</v>
      </c>
      <c r="R40" s="61">
        <f>$F$6*Table5[[#This Row],[Locality''s Allocation Percentage ]]</f>
        <v>9408.0319952765549</v>
      </c>
      <c r="S40" s="61">
        <f t="shared" si="2"/>
        <v>2352.0079988191387</v>
      </c>
      <c r="T40" s="76">
        <f>($C$7+$D$7+$E$7)*Table5[[#This Row],[Locality''s Allocation Percentage ]]</f>
        <v>4316.2708077900088</v>
      </c>
      <c r="U40" s="76">
        <f>$F$7*Table5[[#This Row],[Locality''s Allocation Percentage ]]</f>
        <v>1582.6326295230031</v>
      </c>
      <c r="V40" s="76">
        <f t="shared" si="3"/>
        <v>395.65815738075077</v>
      </c>
    </row>
    <row r="41" spans="2:22" s="19" customFormat="1" ht="18" customHeight="1" x14ac:dyDescent="0.25">
      <c r="B41" s="48" t="s">
        <v>68</v>
      </c>
      <c r="C41" s="32">
        <f>SUM('[1]Dist - VA Totals'!I19,'[1]Dist - VA Totals'!I20,'[1]Dist - VA Totals'!I23)</f>
        <v>27959684.856304102</v>
      </c>
      <c r="D41" s="49">
        <f>SUM('[1]Jan - VA Totals'!I21,'[1]Jan - VA Totals'!I22,'[1]Jan - VA Totals'!I25)</f>
        <v>3649221.2542633326</v>
      </c>
      <c r="E41" s="50">
        <v>0</v>
      </c>
      <c r="F41" s="51">
        <f t="shared" si="8"/>
        <v>31608906.110567436</v>
      </c>
      <c r="G41" s="35"/>
      <c r="J41" s="36" t="s">
        <v>249</v>
      </c>
      <c r="K41" s="37">
        <v>8.6720867208672101E-2</v>
      </c>
      <c r="M41" s="22" t="s">
        <v>36</v>
      </c>
      <c r="N41" s="61">
        <f>($C$5+$D$5+$E$5)*Table5[[#This Row],[Locality''s Allocation Percentage ]]</f>
        <v>352633.85882315144</v>
      </c>
      <c r="O41" s="61">
        <f>$F$5*Table5[[#This Row],[Locality''s Allocation Percentage ]]</f>
        <v>0</v>
      </c>
      <c r="P41" s="61">
        <f t="shared" si="1"/>
        <v>0</v>
      </c>
      <c r="Q41" s="61">
        <f>($C$6+$D$6+$E$6)*Table5[[#This Row],[Locality''s Allocation Percentage ]]</f>
        <v>2232364.578632426</v>
      </c>
      <c r="R41" s="61">
        <f>$F$6*Table5[[#This Row],[Locality''s Allocation Percentage ]]</f>
        <v>807786.66795087501</v>
      </c>
      <c r="S41" s="61">
        <f t="shared" si="2"/>
        <v>201946.66698771875</v>
      </c>
      <c r="T41" s="76">
        <f>($C$7+$D$7+$E$7)*Table5[[#This Row],[Locality''s Allocation Percentage ]]</f>
        <v>370600.99450648518</v>
      </c>
      <c r="U41" s="76">
        <f>$F$7*Table5[[#This Row],[Locality''s Allocation Percentage ]]</f>
        <v>135887.03131904456</v>
      </c>
      <c r="V41" s="76">
        <f t="shared" si="3"/>
        <v>33971.75782976114</v>
      </c>
    </row>
    <row r="42" spans="2:22" s="19" customFormat="1" ht="18" customHeight="1" x14ac:dyDescent="0.25">
      <c r="B42" s="48" t="s">
        <v>70</v>
      </c>
      <c r="C42" s="32">
        <f>SUM('[1]Dist - VA Totals'!J19,'[1]Dist - VA Totals'!J20,'[1]Dist - VA Totals'!J23)</f>
        <v>27959684.856304102</v>
      </c>
      <c r="D42" s="49">
        <f>SUM('[1]Jan - VA Totals'!J21,'[1]Jan - VA Totals'!J22,'[1]Jan - VA Totals'!J25)</f>
        <v>4646097.0278369375</v>
      </c>
      <c r="E42" s="50">
        <v>0</v>
      </c>
      <c r="F42" s="51">
        <f t="shared" si="8"/>
        <v>32605781.884141039</v>
      </c>
      <c r="G42" s="35"/>
      <c r="H42" s="35">
        <f>H31*0.3</f>
        <v>7378338.3780000005</v>
      </c>
      <c r="J42" s="36" t="s">
        <v>107</v>
      </c>
      <c r="K42" s="37">
        <v>2.6900269002689998E-3</v>
      </c>
      <c r="M42" s="22" t="s">
        <v>107</v>
      </c>
      <c r="N42" s="61">
        <f>($C$5+$D$5+$E$5)*Table5[[#This Row],[Locality''s Allocation Percentage ]]</f>
        <v>10938.481091262409</v>
      </c>
      <c r="O42" s="61">
        <f>$F$5*Table5[[#This Row],[Locality''s Allocation Percentage ]]</f>
        <v>0</v>
      </c>
      <c r="P42" s="61">
        <f t="shared" si="1"/>
        <v>0</v>
      </c>
      <c r="Q42" s="61">
        <f>($C$6+$D$6+$E$6)*Table5[[#This Row],[Locality''s Allocation Percentage ]]</f>
        <v>69246.548852873821</v>
      </c>
      <c r="R42" s="61">
        <f>$F$6*Table5[[#This Row],[Locality''s Allocation Percentage ]]</f>
        <v>25057.035710192013</v>
      </c>
      <c r="S42" s="61">
        <f t="shared" si="2"/>
        <v>6264.2589275480032</v>
      </c>
      <c r="T42" s="76">
        <f>($C$7+$D$7+$E$7)*Table5[[#This Row],[Locality''s Allocation Percentage ]]</f>
        <v>11495.810369262499</v>
      </c>
      <c r="U42" s="76">
        <f>$F$7*Table5[[#This Row],[Locality''s Allocation Percentage ]]</f>
        <v>4215.1304687295824</v>
      </c>
      <c r="V42" s="76">
        <f t="shared" si="3"/>
        <v>1053.7826171823956</v>
      </c>
    </row>
    <row r="43" spans="2:22" s="19" customFormat="1" ht="18" customHeight="1" x14ac:dyDescent="0.25">
      <c r="B43" s="48" t="s">
        <v>72</v>
      </c>
      <c r="C43" s="32">
        <f>SUM('[1]Dist - VA Totals'!K19,'[1]Dist - VA Totals'!K20,'[1]Dist - VA Totals'!K23)</f>
        <v>27959684.856304102</v>
      </c>
      <c r="D43" s="32">
        <f>SUM('[1]Jan - VA Totals'!K21,'[1]Jan - VA Totals'!K22,'[1]Jan - VA Totals'!K25)</f>
        <v>4646097.050638088</v>
      </c>
      <c r="E43" s="52">
        <v>0</v>
      </c>
      <c r="F43" s="51">
        <f t="shared" si="8"/>
        <v>32605781.906942189</v>
      </c>
      <c r="G43" s="35"/>
      <c r="J43" s="36" t="s">
        <v>108</v>
      </c>
      <c r="K43" s="37">
        <v>1.0200102001020001E-3</v>
      </c>
      <c r="M43" s="22" t="s">
        <v>108</v>
      </c>
      <c r="N43" s="61">
        <f>($C$5+$D$5+$E$5)*Table5[[#This Row],[Locality''s Allocation Percentage ]]</f>
        <v>4147.6768450139998</v>
      </c>
      <c r="O43" s="61">
        <f>$F$5*Table5[[#This Row],[Locality''s Allocation Percentage ]]</f>
        <v>0</v>
      </c>
      <c r="P43" s="61">
        <f t="shared" si="1"/>
        <v>0</v>
      </c>
      <c r="Q43" s="61">
        <f>($C$6+$D$6+$E$6)*Table5[[#This Row],[Locality''s Allocation Percentage ]]</f>
        <v>26257.055698859225</v>
      </c>
      <c r="R43" s="61">
        <f>$F$6*Table5[[#This Row],[Locality''s Allocation Percentage ]]</f>
        <v>9501.1808269129579</v>
      </c>
      <c r="S43" s="61">
        <f t="shared" si="2"/>
        <v>2375.2952067282395</v>
      </c>
      <c r="T43" s="76">
        <f>($C$7+$D$7+$E$7)*Table5[[#This Row],[Locality''s Allocation Percentage ]]</f>
        <v>4359.0061623225838</v>
      </c>
      <c r="U43" s="76">
        <f>$F$7*Table5[[#This Row],[Locality''s Allocation Percentage ]]</f>
        <v>1598.3022595182806</v>
      </c>
      <c r="V43" s="76">
        <f t="shared" si="3"/>
        <v>399.57556487957015</v>
      </c>
    </row>
    <row r="44" spans="2:22" s="19" customFormat="1" ht="18" customHeight="1" x14ac:dyDescent="0.25">
      <c r="B44" s="48" t="s">
        <v>74</v>
      </c>
      <c r="C44" s="32">
        <f>SUM('[1]Dist - VA Totals'!L19,'[1]Dist - VA Totals'!L20,'[1]Dist - VA Totals'!L23)</f>
        <v>23502936.852050558</v>
      </c>
      <c r="D44" s="32">
        <f>SUM('[1]Jan - VA Totals'!L21,'[1]Jan - VA Totals'!L22,'[1]Jan - VA Totals'!L25)</f>
        <v>4646097.0278369375</v>
      </c>
      <c r="E44" s="52">
        <v>0</v>
      </c>
      <c r="F44" s="51">
        <f t="shared" si="8"/>
        <v>28149033.879887495</v>
      </c>
      <c r="G44" s="35"/>
      <c r="H44" s="35">
        <f>E35*0.3</f>
        <v>1046572.8209999999</v>
      </c>
      <c r="J44" s="36" t="s">
        <v>250</v>
      </c>
      <c r="K44" s="37">
        <v>1.2100121001209999E-2</v>
      </c>
      <c r="M44" s="22" t="s">
        <v>109</v>
      </c>
      <c r="N44" s="61">
        <f>($C$5+$D$5+$E$5)*Table5[[#This Row],[Locality''s Allocation Percentage ]]</f>
        <v>49202.833161440576</v>
      </c>
      <c r="O44" s="61">
        <f>$F$5*Table5[[#This Row],[Locality''s Allocation Percentage ]]</f>
        <v>0</v>
      </c>
      <c r="P44" s="61">
        <f t="shared" si="1"/>
        <v>0</v>
      </c>
      <c r="Q44" s="61">
        <f>($C$6+$D$6+$E$6)*Table5[[#This Row],[Locality''s Allocation Percentage ]]</f>
        <v>311480.75878058485</v>
      </c>
      <c r="R44" s="61">
        <f>$F$6*Table5[[#This Row],[Locality''s Allocation Percentage ]]</f>
        <v>112710.08628004584</v>
      </c>
      <c r="S44" s="61">
        <f t="shared" si="2"/>
        <v>28177.52157001146</v>
      </c>
      <c r="T44" s="76">
        <f>($C$7+$D$7+$E$7)*Table5[[#This Row],[Locality''s Allocation Percentage ]]</f>
        <v>51709.778984414952</v>
      </c>
      <c r="U44" s="76">
        <f>$F$7*Table5[[#This Row],[Locality''s Allocation Percentage ]]</f>
        <v>18960.252294285481</v>
      </c>
      <c r="V44" s="76">
        <f t="shared" si="3"/>
        <v>4740.0630735713703</v>
      </c>
    </row>
    <row r="45" spans="2:22" s="19" customFormat="1" ht="18" customHeight="1" x14ac:dyDescent="0.25">
      <c r="B45" s="48" t="s">
        <v>76</v>
      </c>
      <c r="C45" s="32">
        <f>SUM('[1]Dist - VA Totals'!M19,'[1]Dist - VA Totals'!M20,'[1]Dist - VA Totals'!M23)</f>
        <v>23502936.852050558</v>
      </c>
      <c r="D45" s="49">
        <v>0</v>
      </c>
      <c r="E45" s="50">
        <v>0</v>
      </c>
      <c r="F45" s="51">
        <f t="shared" si="8"/>
        <v>23502936.852050558</v>
      </c>
      <c r="J45" s="36" t="s">
        <v>251</v>
      </c>
      <c r="K45" s="37">
        <v>1.820018200182E-3</v>
      </c>
      <c r="M45" s="22" t="s">
        <v>110</v>
      </c>
      <c r="N45" s="61">
        <f>($C$5+$D$5+$E$5)*Table5[[#This Row],[Locality''s Allocation Percentage ]]</f>
        <v>7400.7567234563521</v>
      </c>
      <c r="O45" s="61">
        <f>$F$5*Table5[[#This Row],[Locality''s Allocation Percentage ]]</f>
        <v>0</v>
      </c>
      <c r="P45" s="61">
        <f t="shared" si="1"/>
        <v>0</v>
      </c>
      <c r="Q45" s="61">
        <f>($C$6+$D$6+$E$6)*Table5[[#This Row],[Locality''s Allocation Percentage ]]</f>
        <v>46850.824874435079</v>
      </c>
      <c r="R45" s="61">
        <f>$F$6*Table5[[#This Row],[Locality''s Allocation Percentage ]]</f>
        <v>16953.087357825079</v>
      </c>
      <c r="S45" s="61">
        <f t="shared" si="2"/>
        <v>4238.2718394562698</v>
      </c>
      <c r="T45" s="76">
        <f>($C$7+$D$7+$E$7)*Table5[[#This Row],[Locality''s Allocation Percentage ]]</f>
        <v>7777.8345249285303</v>
      </c>
      <c r="U45" s="76">
        <f>$F$7*Table5[[#This Row],[Locality''s Allocation Percentage ]]</f>
        <v>2851.8726591404611</v>
      </c>
      <c r="V45" s="76">
        <f t="shared" si="3"/>
        <v>712.96816478511528</v>
      </c>
    </row>
    <row r="46" spans="2:22" s="19" customFormat="1" ht="18" customHeight="1" x14ac:dyDescent="0.25">
      <c r="B46" s="48" t="s">
        <v>78</v>
      </c>
      <c r="C46" s="32">
        <f>SUM('[1]Dist - VA Totals'!N19,'[1]Dist - VA Totals'!N20,'[1]Dist - VA Totals'!N23)</f>
        <v>23502936.852050558</v>
      </c>
      <c r="D46" s="49">
        <v>0</v>
      </c>
      <c r="E46" s="50">
        <v>0</v>
      </c>
      <c r="F46" s="51">
        <f t="shared" si="8"/>
        <v>23502936.852050558</v>
      </c>
      <c r="H46" s="54">
        <f>0.15*0.55</f>
        <v>8.2500000000000004E-2</v>
      </c>
      <c r="J46" s="36" t="s">
        <v>252</v>
      </c>
      <c r="K46" s="37">
        <v>1.940019400194E-3</v>
      </c>
      <c r="M46" s="22" t="s">
        <v>111</v>
      </c>
      <c r="N46" s="61">
        <f>($C$5+$D$5+$E$5)*Table5[[#This Row],[Locality''s Allocation Percentage ]]</f>
        <v>7888.7187052227046</v>
      </c>
      <c r="O46" s="61">
        <f>$F$5*Table5[[#This Row],[Locality''s Allocation Percentage ]]</f>
        <v>0</v>
      </c>
      <c r="P46" s="61">
        <f t="shared" si="1"/>
        <v>0</v>
      </c>
      <c r="Q46" s="61">
        <f>($C$6+$D$6+$E$6)*Table5[[#This Row],[Locality''s Allocation Percentage ]]</f>
        <v>49939.890250771459</v>
      </c>
      <c r="R46" s="61">
        <f>$F$6*Table5[[#This Row],[Locality''s Allocation Percentage ]]</f>
        <v>18070.873337461897</v>
      </c>
      <c r="S46" s="61">
        <f t="shared" si="2"/>
        <v>4517.7183343654742</v>
      </c>
      <c r="T46" s="76">
        <f>($C$7+$D$7+$E$7)*Table5[[#This Row],[Locality''s Allocation Percentage ]]</f>
        <v>8290.658779319423</v>
      </c>
      <c r="U46" s="76">
        <f>$F$7*Table5[[#This Row],[Locality''s Allocation Percentage ]]</f>
        <v>3039.9082190837885</v>
      </c>
      <c r="V46" s="76">
        <f t="shared" si="3"/>
        <v>759.97705477094712</v>
      </c>
    </row>
    <row r="47" spans="2:22" s="19" customFormat="1" ht="18" customHeight="1" x14ac:dyDescent="0.25">
      <c r="B47" s="48" t="s">
        <v>80</v>
      </c>
      <c r="C47" s="32">
        <f>SUM('[1]Dist - VA Totals'!O19,'[1]Dist - VA Totals'!O20,'[1]Dist - VA Totals'!O23)</f>
        <v>23502936.852050558</v>
      </c>
      <c r="D47" s="49">
        <v>0</v>
      </c>
      <c r="E47" s="50">
        <v>0</v>
      </c>
      <c r="F47" s="51">
        <f t="shared" si="8"/>
        <v>23502936.852050558</v>
      </c>
      <c r="J47" s="36" t="s">
        <v>253</v>
      </c>
      <c r="K47" s="37">
        <v>9.5400954009540097E-3</v>
      </c>
      <c r="M47" s="22" t="s">
        <v>112</v>
      </c>
      <c r="N47" s="61">
        <f>($C$5+$D$5+$E$5)*Table5[[#This Row],[Locality''s Allocation Percentage ]]</f>
        <v>38792.977550425094</v>
      </c>
      <c r="O47" s="61">
        <f>$F$5*Table5[[#This Row],[Locality''s Allocation Percentage ]]</f>
        <v>0</v>
      </c>
      <c r="P47" s="61">
        <f t="shared" si="1"/>
        <v>0</v>
      </c>
      <c r="Q47" s="61">
        <f>($C$6+$D$6+$E$6)*Table5[[#This Row],[Locality''s Allocation Percentage ]]</f>
        <v>245580.69741874238</v>
      </c>
      <c r="R47" s="61">
        <f>$F$6*Table5[[#This Row],[Locality''s Allocation Percentage ]]</f>
        <v>88863.985381127161</v>
      </c>
      <c r="S47" s="61">
        <f t="shared" si="2"/>
        <v>22215.99634528179</v>
      </c>
      <c r="T47" s="76">
        <f>($C$7+$D$7+$E$7)*Table5[[#This Row],[Locality''s Allocation Percentage ]]</f>
        <v>40769.52822407597</v>
      </c>
      <c r="U47" s="76">
        <f>$F$7*Table5[[#This Row],[Locality''s Allocation Percentage ]]</f>
        <v>14948.82701549452</v>
      </c>
      <c r="V47" s="76">
        <f t="shared" si="3"/>
        <v>3737.2067538736301</v>
      </c>
    </row>
    <row r="48" spans="2:22" s="19" customFormat="1" ht="18" customHeight="1" x14ac:dyDescent="0.25">
      <c r="B48" s="48" t="s">
        <v>82</v>
      </c>
      <c r="C48" s="32">
        <f>SUM('[1]Dist - VA Totals'!P19,'[1]Dist - VA Totals'!P20,'[1]Dist - VA Totals'!P23)</f>
        <v>23502936.852050558</v>
      </c>
      <c r="D48" s="49">
        <v>0</v>
      </c>
      <c r="E48" s="50">
        <v>0</v>
      </c>
      <c r="F48" s="51">
        <f t="shared" si="8"/>
        <v>23502936.852050558</v>
      </c>
      <c r="J48" s="36" t="s">
        <v>112</v>
      </c>
      <c r="K48" s="37">
        <v>7.9000790007899995E-4</v>
      </c>
      <c r="M48" s="22" t="s">
        <v>113</v>
      </c>
      <c r="N48" s="61">
        <f>($C$5+$D$5+$E$5)*Table5[[#This Row],[Locality''s Allocation Percentage ]]</f>
        <v>3212.4163799618227</v>
      </c>
      <c r="O48" s="61">
        <f>$F$5*Table5[[#This Row],[Locality''s Allocation Percentage ]]</f>
        <v>0</v>
      </c>
      <c r="P48" s="61">
        <f t="shared" si="1"/>
        <v>0</v>
      </c>
      <c r="Q48" s="61">
        <f>($C$6+$D$6+$E$6)*Table5[[#This Row],[Locality''s Allocation Percentage ]]</f>
        <v>20336.347060881162</v>
      </c>
      <c r="R48" s="61">
        <f>$F$6*Table5[[#This Row],[Locality''s Allocation Percentage ]]</f>
        <v>7358.7576992757204</v>
      </c>
      <c r="S48" s="61">
        <f t="shared" si="2"/>
        <v>1839.6894248189301</v>
      </c>
      <c r="T48" s="76">
        <f>($C$7+$D$7+$E$7)*Table5[[#This Row],[Locality''s Allocation Percentage ]]</f>
        <v>3376.0930080733733</v>
      </c>
      <c r="U48" s="76">
        <f>$F$7*Table5[[#This Row],[Locality''s Allocation Percentage ]]</f>
        <v>1237.9007696269034</v>
      </c>
      <c r="V48" s="76">
        <f t="shared" si="3"/>
        <v>309.47519240672585</v>
      </c>
    </row>
    <row r="49" spans="2:22" s="19" customFormat="1" ht="18" customHeight="1" x14ac:dyDescent="0.25">
      <c r="B49" s="48" t="s">
        <v>84</v>
      </c>
      <c r="C49" s="32">
        <f>SUM('[1]Dist - VA Totals'!Q19,'[1]Dist - VA Totals'!Q20,'[1]Dist - VA Totals'!Q23)</f>
        <v>23502936.852050558</v>
      </c>
      <c r="D49" s="49">
        <v>0</v>
      </c>
      <c r="E49" s="50">
        <v>0</v>
      </c>
      <c r="F49" s="51">
        <f t="shared" si="8"/>
        <v>23502936.852050558</v>
      </c>
      <c r="J49" s="36" t="s">
        <v>254</v>
      </c>
      <c r="K49" s="37">
        <v>1.2770127701276999E-2</v>
      </c>
      <c r="M49" s="22" t="s">
        <v>114</v>
      </c>
      <c r="N49" s="61">
        <f>($C$5+$D$5+$E$5)*Table5[[#This Row],[Locality''s Allocation Percentage ]]</f>
        <v>51927.287559636046</v>
      </c>
      <c r="O49" s="61">
        <f>$F$5*Table5[[#This Row],[Locality''s Allocation Percentage ]]</f>
        <v>0</v>
      </c>
      <c r="P49" s="61">
        <f t="shared" si="1"/>
        <v>0</v>
      </c>
      <c r="Q49" s="61">
        <f>($C$6+$D$6+$E$6)*Table5[[#This Row],[Locality''s Allocation Percentage ]]</f>
        <v>328728.04046512966</v>
      </c>
      <c r="R49" s="61">
        <f>$F$6*Table5[[#This Row],[Locality''s Allocation Percentage ]]</f>
        <v>118951.05799968475</v>
      </c>
      <c r="S49" s="61">
        <f t="shared" si="2"/>
        <v>29737.764499921188</v>
      </c>
      <c r="T49" s="76">
        <f>($C$7+$D$7+$E$7)*Table5[[#This Row],[Locality''s Allocation Percentage ]]</f>
        <v>54573.047738097433</v>
      </c>
      <c r="U49" s="76">
        <f>$F$7*Table5[[#This Row],[Locality''s Allocation Percentage ]]</f>
        <v>20010.117503969061</v>
      </c>
      <c r="V49" s="76">
        <f t="shared" si="3"/>
        <v>5002.5293759922652</v>
      </c>
    </row>
    <row r="50" spans="2:22" s="19" customFormat="1" ht="18" customHeight="1" x14ac:dyDescent="0.25">
      <c r="B50" s="48" t="s">
        <v>86</v>
      </c>
      <c r="C50" s="32">
        <f>SUM('[1]Dist - VA Totals'!R19,'[1]Dist - VA Totals'!R20,'[1]Dist - VA Totals'!R23)</f>
        <v>23502936.852050558</v>
      </c>
      <c r="D50" s="49">
        <v>0</v>
      </c>
      <c r="E50" s="50">
        <v>0</v>
      </c>
      <c r="F50" s="51">
        <f t="shared" si="8"/>
        <v>23502936.852050558</v>
      </c>
      <c r="J50" s="36" t="s">
        <v>115</v>
      </c>
      <c r="K50" s="37">
        <v>5.2400524005239996E-3</v>
      </c>
      <c r="M50" s="22" t="s">
        <v>115</v>
      </c>
      <c r="N50" s="61">
        <f>($C$5+$D$5+$E$5)*Table5[[#This Row],[Locality''s Allocation Percentage ]]</f>
        <v>21307.673203797407</v>
      </c>
      <c r="O50" s="61">
        <f>$F$5*Table5[[#This Row],[Locality''s Allocation Percentage ]]</f>
        <v>0</v>
      </c>
      <c r="P50" s="61">
        <f t="shared" si="1"/>
        <v>0</v>
      </c>
      <c r="Q50" s="61">
        <f>($C$6+$D$6+$E$6)*Table5[[#This Row],[Locality''s Allocation Percentage ]]</f>
        <v>134889.18810002189</v>
      </c>
      <c r="R50" s="61">
        <f>$F$6*Table5[[#This Row],[Locality''s Allocation Percentage ]]</f>
        <v>48809.987777474402</v>
      </c>
      <c r="S50" s="61">
        <f t="shared" si="2"/>
        <v>12202.4969443686</v>
      </c>
      <c r="T50" s="76">
        <f>($C$7+$D$7+$E$7)*Table5[[#This Row],[Locality''s Allocation Percentage ]]</f>
        <v>22393.325775068955</v>
      </c>
      <c r="U50" s="76">
        <f>$F$7*Table5[[#This Row],[Locality''s Allocation Percentage ]]</f>
        <v>8210.8861175252841</v>
      </c>
      <c r="V50" s="76">
        <f t="shared" si="3"/>
        <v>2052.721529381321</v>
      </c>
    </row>
    <row r="51" spans="2:22" s="19" customFormat="1" ht="18" customHeight="1" thickBot="1" x14ac:dyDescent="0.3">
      <c r="B51" s="55" t="s">
        <v>88</v>
      </c>
      <c r="C51" s="56">
        <f>SUM('[1]Dist - VA Totals'!S19,'[1]Dist - VA Totals'!S20,'[1]Dist - VA Totals'!S23)</f>
        <v>23502936.852050558</v>
      </c>
      <c r="D51" s="56">
        <v>0</v>
      </c>
      <c r="E51" s="57">
        <v>0</v>
      </c>
      <c r="F51" s="58">
        <f t="shared" si="8"/>
        <v>23502936.852050558</v>
      </c>
      <c r="J51" s="36" t="s">
        <v>116</v>
      </c>
      <c r="K51" s="37">
        <v>1.3900139001390001E-3</v>
      </c>
      <c r="M51" s="22" t="s">
        <v>116</v>
      </c>
      <c r="N51" s="61">
        <f>($C$5+$D$5+$E$5)*Table5[[#This Row],[Locality''s Allocation Percentage ]]</f>
        <v>5652.2262887935876</v>
      </c>
      <c r="O51" s="61">
        <f>$F$5*Table5[[#This Row],[Locality''s Allocation Percentage ]]</f>
        <v>0</v>
      </c>
      <c r="P51" s="61">
        <f t="shared" si="1"/>
        <v>0</v>
      </c>
      <c r="Q51" s="61">
        <f>($C$6+$D$6+$E$6)*Table5[[#This Row],[Locality''s Allocation Percentage ]]</f>
        <v>35781.673942563059</v>
      </c>
      <c r="R51" s="61">
        <f>$F$6*Table5[[#This Row],[Locality''s Allocation Percentage ]]</f>
        <v>12947.687597459813</v>
      </c>
      <c r="S51" s="61">
        <f t="shared" si="2"/>
        <v>3236.9218993649533</v>
      </c>
      <c r="T51" s="76">
        <f>($C$7+$D$7+$E$7)*Table5[[#This Row],[Locality''s Allocation Percentage ]]</f>
        <v>5940.2142800278343</v>
      </c>
      <c r="U51" s="76">
        <f>$F$7*Table5[[#This Row],[Locality''s Allocation Percentage ]]</f>
        <v>2178.0785693435391</v>
      </c>
      <c r="V51" s="76">
        <f t="shared" si="3"/>
        <v>544.51964233588478</v>
      </c>
    </row>
    <row r="52" spans="2:22" s="19" customFormat="1" ht="18" customHeight="1" x14ac:dyDescent="0.25">
      <c r="J52" s="36" t="s">
        <v>255</v>
      </c>
      <c r="K52" s="37">
        <v>4.0900409004089996E-3</v>
      </c>
      <c r="M52" s="22" t="s">
        <v>117</v>
      </c>
      <c r="N52" s="61">
        <f>($C$5+$D$5+$E$5)*Table5[[#This Row],[Locality''s Allocation Percentage ]]</f>
        <v>16631.370878536527</v>
      </c>
      <c r="O52" s="61">
        <f>$F$5*Table5[[#This Row],[Locality''s Allocation Percentage ]]</f>
        <v>0</v>
      </c>
      <c r="P52" s="61">
        <f t="shared" si="1"/>
        <v>0</v>
      </c>
      <c r="Q52" s="61">
        <f>($C$6+$D$6+$E$6)*Table5[[#This Row],[Locality''s Allocation Percentage ]]</f>
        <v>105285.64491013158</v>
      </c>
      <c r="R52" s="61">
        <f>$F$6*Table5[[#This Row],[Locality''s Allocation Percentage ]]</f>
        <v>38097.872139288222</v>
      </c>
      <c r="S52" s="61">
        <f t="shared" si="2"/>
        <v>9524.4680348220554</v>
      </c>
      <c r="T52" s="76">
        <f>($C$7+$D$7+$E$7)*Table5[[#This Row],[Locality''s Allocation Percentage ]]</f>
        <v>17478.760003822907</v>
      </c>
      <c r="U52" s="76">
        <f>$F$7*Table5[[#This Row],[Locality''s Allocation Percentage ]]</f>
        <v>6408.8786680683988</v>
      </c>
      <c r="V52" s="76">
        <f t="shared" si="3"/>
        <v>1602.2196670170997</v>
      </c>
    </row>
    <row r="53" spans="2:22" s="19" customFormat="1" ht="18" customHeight="1" x14ac:dyDescent="0.25">
      <c r="C53" s="35">
        <f>SUM(C34:C51)</f>
        <v>423052863.31775701</v>
      </c>
      <c r="F53" s="35">
        <f>SUM(F34:F51)</f>
        <v>523779577.70176357</v>
      </c>
      <c r="J53" s="36" t="s">
        <v>256</v>
      </c>
      <c r="K53" s="37">
        <v>4.2400424004239998E-3</v>
      </c>
      <c r="M53" s="22" t="s">
        <v>118</v>
      </c>
      <c r="N53" s="61">
        <f>($C$5+$D$5+$E$5)*Table5[[#This Row],[Locality''s Allocation Percentage ]]</f>
        <v>17241.323355744469</v>
      </c>
      <c r="O53" s="61">
        <f>$F$5*Table5[[#This Row],[Locality''s Allocation Percentage ]]</f>
        <v>0</v>
      </c>
      <c r="P53" s="61">
        <f t="shared" si="1"/>
        <v>0</v>
      </c>
      <c r="Q53" s="61">
        <f>($C$6+$D$6+$E$6)*Table5[[#This Row],[Locality''s Allocation Percentage ]]</f>
        <v>109146.97663055206</v>
      </c>
      <c r="R53" s="61">
        <f>$F$6*Table5[[#This Row],[Locality''s Allocation Percentage ]]</f>
        <v>39495.10461383425</v>
      </c>
      <c r="S53" s="61">
        <f t="shared" si="2"/>
        <v>9873.7761534585625</v>
      </c>
      <c r="T53" s="76">
        <f>($C$7+$D$7+$E$7)*Table5[[#This Row],[Locality''s Allocation Percentage ]]</f>
        <v>18119.790321811521</v>
      </c>
      <c r="U53" s="76">
        <f>$F$7*Table5[[#This Row],[Locality''s Allocation Percentage ]]</f>
        <v>6643.9231179975577</v>
      </c>
      <c r="V53" s="76">
        <f t="shared" si="3"/>
        <v>1660.9807794993894</v>
      </c>
    </row>
    <row r="54" spans="2:22" s="19" customFormat="1" ht="18" customHeight="1" x14ac:dyDescent="0.25">
      <c r="J54" s="36" t="s">
        <v>257</v>
      </c>
      <c r="K54" s="37">
        <v>2.2500225002249998E-3</v>
      </c>
      <c r="M54" s="22" t="s">
        <v>119</v>
      </c>
      <c r="N54" s="61">
        <f>($C$5+$D$5+$E$5)*Table5[[#This Row],[Locality''s Allocation Percentage ]]</f>
        <v>9149.2871581191157</v>
      </c>
      <c r="O54" s="61">
        <f>$F$5*Table5[[#This Row],[Locality''s Allocation Percentage ]]</f>
        <v>0</v>
      </c>
      <c r="P54" s="61">
        <f t="shared" si="1"/>
        <v>0</v>
      </c>
      <c r="Q54" s="61">
        <f>($C$6+$D$6+$E$6)*Table5[[#This Row],[Locality''s Allocation Percentage ]]</f>
        <v>57919.975806307106</v>
      </c>
      <c r="R54" s="61">
        <f>$F$6*Table5[[#This Row],[Locality''s Allocation Percentage ]]</f>
        <v>20958.487118190344</v>
      </c>
      <c r="S54" s="61">
        <f t="shared" si="2"/>
        <v>5239.6217795475859</v>
      </c>
      <c r="T54" s="76">
        <f>($C$7+$D$7+$E$7)*Table5[[#This Row],[Locality''s Allocation Percentage ]]</f>
        <v>9615.4547698292263</v>
      </c>
      <c r="U54" s="76">
        <f>$F$7*Table5[[#This Row],[Locality''s Allocation Percentage ]]</f>
        <v>3525.6667489373831</v>
      </c>
      <c r="V54" s="76">
        <f t="shared" si="3"/>
        <v>881.41668723434577</v>
      </c>
    </row>
    <row r="55" spans="2:22" s="19" customFormat="1" ht="18" customHeight="1" x14ac:dyDescent="0.25">
      <c r="B55" s="19" t="s">
        <v>49</v>
      </c>
      <c r="C55" s="19" t="s">
        <v>40</v>
      </c>
      <c r="J55" s="36" t="s">
        <v>258</v>
      </c>
      <c r="K55" s="37">
        <v>2.2400224002240001E-3</v>
      </c>
      <c r="M55" s="22" t="s">
        <v>120</v>
      </c>
      <c r="N55" s="61">
        <f>($C$5+$D$5+$E$5)*Table5[[#This Row],[Locality''s Allocation Percentage ]]</f>
        <v>9108.6236596385879</v>
      </c>
      <c r="O55" s="61">
        <f>$F$5*Table5[[#This Row],[Locality''s Allocation Percentage ]]</f>
        <v>0</v>
      </c>
      <c r="P55" s="61">
        <f t="shared" si="1"/>
        <v>0</v>
      </c>
      <c r="Q55" s="61">
        <f>($C$6+$D$6+$E$6)*Table5[[#This Row],[Locality''s Allocation Percentage ]]</f>
        <v>57662.553691612411</v>
      </c>
      <c r="R55" s="61">
        <f>$F$6*Table5[[#This Row],[Locality''s Allocation Percentage ]]</f>
        <v>20865.338286553946</v>
      </c>
      <c r="S55" s="61">
        <f t="shared" si="2"/>
        <v>5216.3345716384865</v>
      </c>
      <c r="T55" s="76">
        <f>($C$7+$D$7+$E$7)*Table5[[#This Row],[Locality''s Allocation Percentage ]]</f>
        <v>9572.7194152966531</v>
      </c>
      <c r="U55" s="76">
        <f>$F$7*Table5[[#This Row],[Locality''s Allocation Percentage ]]</f>
        <v>3509.9971189421062</v>
      </c>
      <c r="V55" s="76">
        <f t="shared" si="3"/>
        <v>877.49927973552656</v>
      </c>
    </row>
    <row r="56" spans="2:22" s="19" customFormat="1" ht="18" customHeight="1" x14ac:dyDescent="0.25">
      <c r="B56" s="19" t="s">
        <v>55</v>
      </c>
      <c r="C56" s="141">
        <v>18072485.264686506</v>
      </c>
      <c r="D56" s="141">
        <v>18072485.264686506</v>
      </c>
      <c r="J56" s="36" t="s">
        <v>259</v>
      </c>
      <c r="K56" s="37">
        <v>1.7800178001780001E-3</v>
      </c>
      <c r="M56" s="22" t="s">
        <v>121</v>
      </c>
      <c r="N56" s="61">
        <f>($C$5+$D$5+$E$5)*Table5[[#This Row],[Locality''s Allocation Percentage ]]</f>
        <v>7238.1027295342346</v>
      </c>
      <c r="O56" s="61">
        <f>$F$5*Table5[[#This Row],[Locality''s Allocation Percentage ]]</f>
        <v>0</v>
      </c>
      <c r="P56" s="61">
        <f t="shared" si="1"/>
        <v>0</v>
      </c>
      <c r="Q56" s="61">
        <f>($C$6+$D$6+$E$6)*Table5[[#This Row],[Locality''s Allocation Percentage ]]</f>
        <v>45821.136415656292</v>
      </c>
      <c r="R56" s="61">
        <f>$F$6*Table5[[#This Row],[Locality''s Allocation Percentage ]]</f>
        <v>16580.492031279475</v>
      </c>
      <c r="S56" s="61">
        <f t="shared" si="2"/>
        <v>4145.1230078198687</v>
      </c>
      <c r="T56" s="76">
        <f>($C$7+$D$7+$E$7)*Table5[[#This Row],[Locality''s Allocation Percentage ]]</f>
        <v>7606.8931067982339</v>
      </c>
      <c r="U56" s="76">
        <f>$F$7*Table5[[#This Row],[Locality''s Allocation Percentage ]]</f>
        <v>2789.1941391593523</v>
      </c>
      <c r="V56" s="76">
        <f t="shared" si="3"/>
        <v>697.29853478983807</v>
      </c>
    </row>
    <row r="57" spans="2:22" s="19" customFormat="1" ht="18" customHeight="1" x14ac:dyDescent="0.25">
      <c r="B57" s="19" t="s">
        <v>57</v>
      </c>
      <c r="C57" s="141">
        <v>18993300.96845736</v>
      </c>
      <c r="D57" s="141">
        <v>18993300.96845736</v>
      </c>
      <c r="J57" s="36" t="s">
        <v>260</v>
      </c>
      <c r="K57" s="37">
        <v>1.2400124001240001E-3</v>
      </c>
      <c r="M57" s="22" t="s">
        <v>122</v>
      </c>
      <c r="N57" s="61">
        <f>($C$5+$D$5+$E$5)*Table5[[#This Row],[Locality''s Allocation Percentage ]]</f>
        <v>5042.2738115856464</v>
      </c>
      <c r="O57" s="61">
        <f>$F$5*Table5[[#This Row],[Locality''s Allocation Percentage ]]</f>
        <v>0</v>
      </c>
      <c r="P57" s="61">
        <f t="shared" si="1"/>
        <v>0</v>
      </c>
      <c r="Q57" s="61">
        <f>($C$6+$D$6+$E$6)*Table5[[#This Row],[Locality''s Allocation Percentage ]]</f>
        <v>31920.342222142586</v>
      </c>
      <c r="R57" s="61">
        <f>$F$6*Table5[[#This Row],[Locality''s Allocation Percentage ]]</f>
        <v>11550.455122913791</v>
      </c>
      <c r="S57" s="61">
        <f t="shared" si="2"/>
        <v>2887.6137807284476</v>
      </c>
      <c r="T57" s="76">
        <f>($C$7+$D$7+$E$7)*Table5[[#This Row],[Locality''s Allocation Percentage ]]</f>
        <v>5299.1839620392193</v>
      </c>
      <c r="U57" s="76">
        <f>$F$7*Table5[[#This Row],[Locality''s Allocation Percentage ]]</f>
        <v>1943.0341194143803</v>
      </c>
      <c r="V57" s="76">
        <f t="shared" si="3"/>
        <v>485.75852985359506</v>
      </c>
    </row>
    <row r="58" spans="2:22" s="19" customFormat="1" ht="18" customHeight="1" x14ac:dyDescent="0.25">
      <c r="B58" s="19" t="s">
        <v>59</v>
      </c>
      <c r="C58" s="141">
        <v>18993300.96845736</v>
      </c>
      <c r="D58" s="141">
        <v>28997450.678457361</v>
      </c>
      <c r="J58" s="36" t="s">
        <v>261</v>
      </c>
      <c r="K58" s="37">
        <v>3.5300353003529998E-3</v>
      </c>
      <c r="M58" s="22" t="s">
        <v>123</v>
      </c>
      <c r="N58" s="61">
        <f>($C$5+$D$5+$E$5)*Table5[[#This Row],[Locality''s Allocation Percentage ]]</f>
        <v>14354.21496362688</v>
      </c>
      <c r="O58" s="61">
        <f>$F$5*Table5[[#This Row],[Locality''s Allocation Percentage ]]</f>
        <v>0</v>
      </c>
      <c r="P58" s="61">
        <f t="shared" si="1"/>
        <v>0</v>
      </c>
      <c r="Q58" s="61">
        <f>($C$6+$D$6+$E$6)*Table5[[#This Row],[Locality''s Allocation Percentage ]]</f>
        <v>90870.006487228471</v>
      </c>
      <c r="R58" s="61">
        <f>$F$6*Table5[[#This Row],[Locality''s Allocation Percentage ]]</f>
        <v>32881.537567649742</v>
      </c>
      <c r="S58" s="61">
        <f t="shared" si="2"/>
        <v>8220.3843919124356</v>
      </c>
      <c r="T58" s="76">
        <f>($C$7+$D$7+$E$7)*Table5[[#This Row],[Locality''s Allocation Percentage ]]</f>
        <v>15085.580149998743</v>
      </c>
      <c r="U58" s="76">
        <f>$F$7*Table5[[#This Row],[Locality''s Allocation Percentage ]]</f>
        <v>5531.3793883328726</v>
      </c>
      <c r="V58" s="76">
        <f t="shared" si="3"/>
        <v>1382.8448470832182</v>
      </c>
    </row>
    <row r="59" spans="2:22" s="19" customFormat="1" ht="18" customHeight="1" x14ac:dyDescent="0.25">
      <c r="B59" s="19" t="s">
        <v>61</v>
      </c>
      <c r="C59" s="141">
        <v>23772806.682994787</v>
      </c>
      <c r="D59" s="141">
        <v>23772806.682994787</v>
      </c>
      <c r="G59" s="35">
        <f>G6-F6</f>
        <v>25741954.047355153</v>
      </c>
      <c r="J59" s="36" t="s">
        <v>124</v>
      </c>
      <c r="K59" s="37">
        <v>1.5380153801538E-2</v>
      </c>
      <c r="M59" s="22" t="s">
        <v>124</v>
      </c>
      <c r="N59" s="61">
        <f>($C$5+$D$5+$E$5)*Table5[[#This Row],[Locality''s Allocation Percentage ]]</f>
        <v>62540.460663054226</v>
      </c>
      <c r="O59" s="61">
        <f>$F$5*Table5[[#This Row],[Locality''s Allocation Percentage ]]</f>
        <v>0</v>
      </c>
      <c r="P59" s="61">
        <f t="shared" si="1"/>
        <v>0</v>
      </c>
      <c r="Q59" s="61">
        <f>($C$6+$D$6+$E$6)*Table5[[#This Row],[Locality''s Allocation Percentage ]]</f>
        <v>395915.21240044589</v>
      </c>
      <c r="R59" s="61">
        <f>$F$6*Table5[[#This Row],[Locality''s Allocation Percentage ]]</f>
        <v>143262.90305678555</v>
      </c>
      <c r="S59" s="61">
        <f t="shared" si="2"/>
        <v>35815.725764196388</v>
      </c>
      <c r="T59" s="76">
        <f>($C$7+$D$7+$E$7)*Table5[[#This Row],[Locality''s Allocation Percentage ]]</f>
        <v>65726.975271099349</v>
      </c>
      <c r="U59" s="76">
        <f>$F$7*Table5[[#This Row],[Locality''s Allocation Percentage ]]</f>
        <v>24099.890932736424</v>
      </c>
      <c r="V59" s="76">
        <f t="shared" si="3"/>
        <v>6024.9727331841059</v>
      </c>
    </row>
    <row r="60" spans="2:22" s="19" customFormat="1" ht="18" customHeight="1" x14ac:dyDescent="0.25">
      <c r="B60" s="19" t="s">
        <v>63</v>
      </c>
      <c r="C60" s="141">
        <v>23772806.682766777</v>
      </c>
      <c r="D60" s="141">
        <v>23772806.682766777</v>
      </c>
      <c r="J60" s="36" t="s">
        <v>262</v>
      </c>
      <c r="K60" s="37">
        <v>1.0790107901079E-2</v>
      </c>
      <c r="M60" s="22" t="s">
        <v>125</v>
      </c>
      <c r="N60" s="61">
        <f>($C$5+$D$5+$E$5)*Table5[[#This Row],[Locality''s Allocation Percentage ]]</f>
        <v>43875.914860491226</v>
      </c>
      <c r="O60" s="61">
        <f>$F$5*Table5[[#This Row],[Locality''s Allocation Percentage ]]</f>
        <v>0</v>
      </c>
      <c r="P60" s="61">
        <f t="shared" si="1"/>
        <v>0</v>
      </c>
      <c r="Q60" s="61">
        <f>($C$6+$D$6+$E$6)*Table5[[#This Row],[Locality''s Allocation Percentage ]]</f>
        <v>277758.4617555794</v>
      </c>
      <c r="R60" s="61">
        <f>$F$6*Table5[[#This Row],[Locality''s Allocation Percentage ]]</f>
        <v>100507.58933567726</v>
      </c>
      <c r="S60" s="61">
        <f t="shared" si="2"/>
        <v>25126.897333919314</v>
      </c>
      <c r="T60" s="76">
        <f>($C$7+$D$7+$E$7)*Table5[[#This Row],[Locality''s Allocation Percentage ]]</f>
        <v>46111.447540647721</v>
      </c>
      <c r="U60" s="76">
        <f>$F$7*Table5[[#This Row],[Locality''s Allocation Percentage ]]</f>
        <v>16907.530764904164</v>
      </c>
      <c r="V60" s="76">
        <f t="shared" si="3"/>
        <v>4226.8826912260411</v>
      </c>
    </row>
    <row r="61" spans="2:22" s="19" customFormat="1" ht="18" customHeight="1" x14ac:dyDescent="0.25">
      <c r="B61" s="19" t="s">
        <v>65</v>
      </c>
      <c r="C61" s="141">
        <v>23772806.682538766</v>
      </c>
      <c r="D61" s="141">
        <v>23772806.682538766</v>
      </c>
      <c r="J61" s="36" t="s">
        <v>126</v>
      </c>
      <c r="K61" s="37">
        <v>5.2300523005230099E-3</v>
      </c>
      <c r="M61" s="22" t="s">
        <v>126</v>
      </c>
      <c r="N61" s="61">
        <f>($C$5+$D$5+$E$5)*Table5[[#This Row],[Locality''s Allocation Percentage ]]</f>
        <v>21267.009705316919</v>
      </c>
      <c r="O61" s="61">
        <f>$F$5*Table5[[#This Row],[Locality''s Allocation Percentage ]]</f>
        <v>0</v>
      </c>
      <c r="P61" s="61">
        <f t="shared" si="1"/>
        <v>0</v>
      </c>
      <c r="Q61" s="61">
        <f>($C$6+$D$6+$E$6)*Table5[[#This Row],[Locality''s Allocation Percentage ]]</f>
        <v>134631.76598532745</v>
      </c>
      <c r="R61" s="61">
        <f>$F$6*Table5[[#This Row],[Locality''s Allocation Percentage ]]</f>
        <v>48716.838945838092</v>
      </c>
      <c r="S61" s="61">
        <f t="shared" si="2"/>
        <v>12179.209736459523</v>
      </c>
      <c r="T61" s="76">
        <f>($C$7+$D$7+$E$7)*Table5[[#This Row],[Locality''s Allocation Percentage ]]</f>
        <v>22350.590420536424</v>
      </c>
      <c r="U61" s="76">
        <f>$F$7*Table5[[#This Row],[Locality''s Allocation Percentage ]]</f>
        <v>8195.2164875300223</v>
      </c>
      <c r="V61" s="76">
        <f t="shared" si="3"/>
        <v>2048.8041218825056</v>
      </c>
    </row>
    <row r="62" spans="2:22" s="19" customFormat="1" ht="18" customHeight="1" x14ac:dyDescent="0.25">
      <c r="B62" s="19" t="s">
        <v>66</v>
      </c>
      <c r="C62" s="141">
        <v>23772806.682538766</v>
      </c>
      <c r="D62" s="141">
        <v>9701003.3272727262</v>
      </c>
      <c r="J62" s="36" t="s">
        <v>263</v>
      </c>
      <c r="K62" s="37">
        <v>4.4730447304473002E-2</v>
      </c>
      <c r="M62" s="22" t="s">
        <v>127</v>
      </c>
      <c r="N62" s="61">
        <f>($C$5+$D$5+$E$5)*Table5[[#This Row],[Locality''s Allocation Percentage ]]</f>
        <v>181887.82870340804</v>
      </c>
      <c r="O62" s="61">
        <f>$F$5*Table5[[#This Row],[Locality''s Allocation Percentage ]]</f>
        <v>0</v>
      </c>
      <c r="P62" s="61">
        <f t="shared" si="1"/>
        <v>0</v>
      </c>
      <c r="Q62" s="61">
        <f>($C$6+$D$6+$E$6)*Table5[[#This Row],[Locality''s Allocation Percentage ]]</f>
        <v>1151449.1190293853</v>
      </c>
      <c r="R62" s="61">
        <f>$F$6*Table5[[#This Row],[Locality''s Allocation Percentage ]]</f>
        <v>416654.7239096241</v>
      </c>
      <c r="S62" s="61">
        <f t="shared" si="2"/>
        <v>104163.68097740602</v>
      </c>
      <c r="T62" s="76">
        <f>($C$7+$D$7+$E$7)*Table5[[#This Row],[Locality''s Allocation Percentage ]]</f>
        <v>191155.24082420504</v>
      </c>
      <c r="U62" s="76">
        <f>$F$7*Table5[[#This Row],[Locality''s Allocation Percentage ]]</f>
        <v>70090.25496887519</v>
      </c>
      <c r="V62" s="76">
        <f t="shared" si="3"/>
        <v>17522.563742218797</v>
      </c>
    </row>
    <row r="63" spans="2:22" s="19" customFormat="1" ht="18" customHeight="1" x14ac:dyDescent="0.25">
      <c r="B63" s="19" t="s">
        <v>68</v>
      </c>
      <c r="C63" s="141">
        <v>27959684.856304102</v>
      </c>
      <c r="D63" s="141">
        <v>27959684.856304102</v>
      </c>
      <c r="J63" s="36" t="s">
        <v>264</v>
      </c>
      <c r="K63" s="37">
        <v>1.2200122001220001E-2</v>
      </c>
      <c r="M63" s="22" t="s">
        <v>128</v>
      </c>
      <c r="N63" s="61">
        <f>($C$5+$D$5+$E$5)*Table5[[#This Row],[Locality''s Allocation Percentage ]]</f>
        <v>49609.468146245876</v>
      </c>
      <c r="O63" s="61">
        <f>$F$5*Table5[[#This Row],[Locality''s Allocation Percentage ]]</f>
        <v>0</v>
      </c>
      <c r="P63" s="61">
        <f t="shared" si="1"/>
        <v>0</v>
      </c>
      <c r="Q63" s="61">
        <f>($C$6+$D$6+$E$6)*Table5[[#This Row],[Locality''s Allocation Percentage ]]</f>
        <v>314054.97992753191</v>
      </c>
      <c r="R63" s="61">
        <f>$F$6*Table5[[#This Row],[Locality''s Allocation Percentage ]]</f>
        <v>113641.57459640988</v>
      </c>
      <c r="S63" s="61">
        <f t="shared" si="2"/>
        <v>28410.393649102469</v>
      </c>
      <c r="T63" s="76">
        <f>($C$7+$D$7+$E$7)*Table5[[#This Row],[Locality''s Allocation Percentage ]]</f>
        <v>52137.132529740702</v>
      </c>
      <c r="U63" s="76">
        <f>$F$7*Table5[[#This Row],[Locality''s Allocation Percentage ]]</f>
        <v>19116.948594238256</v>
      </c>
      <c r="V63" s="76">
        <f t="shared" si="3"/>
        <v>4779.237148559564</v>
      </c>
    </row>
    <row r="64" spans="2:22" s="19" customFormat="1" ht="18" customHeight="1" x14ac:dyDescent="0.25">
      <c r="B64" s="19" t="s">
        <v>70</v>
      </c>
      <c r="C64" s="141">
        <v>27959684.856304102</v>
      </c>
      <c r="D64" s="141">
        <v>27959684.856304102</v>
      </c>
      <c r="J64" s="36" t="s">
        <v>265</v>
      </c>
      <c r="K64" s="37">
        <v>2.30002300023E-4</v>
      </c>
      <c r="M64" s="22" t="s">
        <v>129</v>
      </c>
      <c r="N64" s="61">
        <f>($C$5+$D$5+$E$5)*Table5[[#This Row],[Locality''s Allocation Percentage ]]</f>
        <v>935.2604650521763</v>
      </c>
      <c r="O64" s="61">
        <f>$F$5*Table5[[#This Row],[Locality''s Allocation Percentage ]]</f>
        <v>0</v>
      </c>
      <c r="P64" s="61">
        <f t="shared" si="1"/>
        <v>0</v>
      </c>
      <c r="Q64" s="61">
        <f>($C$6+$D$6+$E$6)*Table5[[#This Row],[Locality''s Allocation Percentage ]]</f>
        <v>5920.7086379780594</v>
      </c>
      <c r="R64" s="61">
        <f>$F$6*Table5[[#This Row],[Locality''s Allocation Percentage ]]</f>
        <v>2142.4231276372352</v>
      </c>
      <c r="S64" s="61">
        <f t="shared" si="2"/>
        <v>535.6057819093088</v>
      </c>
      <c r="T64" s="76">
        <f>($C$7+$D$7+$E$7)*Table5[[#This Row],[Locality''s Allocation Percentage ]]</f>
        <v>982.91315424920992</v>
      </c>
      <c r="U64" s="76">
        <f>$F$7*Table5[[#This Row],[Locality''s Allocation Percentage ]]</f>
        <v>360.40148989137697</v>
      </c>
      <c r="V64" s="76">
        <f t="shared" si="3"/>
        <v>90.100372472844242</v>
      </c>
    </row>
    <row r="65" spans="2:22" s="19" customFormat="1" ht="18" customHeight="1" x14ac:dyDescent="0.25">
      <c r="B65" s="19" t="s">
        <v>72</v>
      </c>
      <c r="C65" s="141">
        <v>27959684.856304102</v>
      </c>
      <c r="D65" s="141">
        <v>27959684.856304102</v>
      </c>
      <c r="J65" s="36" t="s">
        <v>130</v>
      </c>
      <c r="K65" s="37">
        <v>3.4400344003439999E-3</v>
      </c>
      <c r="M65" s="22" t="s">
        <v>130</v>
      </c>
      <c r="N65" s="61">
        <f>($C$5+$D$5+$E$5)*Table5[[#This Row],[Locality''s Allocation Percentage ]]</f>
        <v>13988.243477302116</v>
      </c>
      <c r="O65" s="61">
        <f>$F$5*Table5[[#This Row],[Locality''s Allocation Percentage ]]</f>
        <v>0</v>
      </c>
      <c r="P65" s="61">
        <f t="shared" si="1"/>
        <v>0</v>
      </c>
      <c r="Q65" s="61">
        <f>($C$6+$D$6+$E$6)*Table5[[#This Row],[Locality''s Allocation Percentage ]]</f>
        <v>88553.207454976204</v>
      </c>
      <c r="R65" s="61">
        <f>$F$6*Table5[[#This Row],[Locality''s Allocation Percentage ]]</f>
        <v>32043.198082922128</v>
      </c>
      <c r="S65" s="61">
        <f t="shared" si="2"/>
        <v>8010.7995207305321</v>
      </c>
      <c r="T65" s="76">
        <f>($C$7+$D$7+$E$7)*Table5[[#This Row],[Locality''s Allocation Percentage ]]</f>
        <v>14700.961959205575</v>
      </c>
      <c r="U65" s="76">
        <f>$F$7*Table5[[#This Row],[Locality''s Allocation Percentage ]]</f>
        <v>5390.3527183753768</v>
      </c>
      <c r="V65" s="76">
        <f t="shared" si="3"/>
        <v>1347.5881795938442</v>
      </c>
    </row>
    <row r="66" spans="2:22" s="19" customFormat="1" ht="18" customHeight="1" x14ac:dyDescent="0.25">
      <c r="B66" s="19" t="s">
        <v>74</v>
      </c>
      <c r="C66" s="141">
        <v>23502936.852050558</v>
      </c>
      <c r="D66" s="141">
        <v>23502936.852050558</v>
      </c>
      <c r="J66" s="36" t="s">
        <v>266</v>
      </c>
      <c r="K66" s="37">
        <v>3.5600356003560002E-3</v>
      </c>
      <c r="M66" s="22" t="s">
        <v>131</v>
      </c>
      <c r="N66" s="61">
        <f>($C$5+$D$5+$E$5)*Table5[[#This Row],[Locality''s Allocation Percentage ]]</f>
        <v>14476.205459068469</v>
      </c>
      <c r="O66" s="61">
        <f>$F$5*Table5[[#This Row],[Locality''s Allocation Percentage ]]</f>
        <v>0</v>
      </c>
      <c r="P66" s="61">
        <f t="shared" si="1"/>
        <v>0</v>
      </c>
      <c r="Q66" s="61">
        <f>($C$6+$D$6+$E$6)*Table5[[#This Row],[Locality''s Allocation Percentage ]]</f>
        <v>91642.272831312584</v>
      </c>
      <c r="R66" s="61">
        <f>$F$6*Table5[[#This Row],[Locality''s Allocation Percentage ]]</f>
        <v>33160.98406255895</v>
      </c>
      <c r="S66" s="61">
        <f t="shared" si="2"/>
        <v>8290.2460156397374</v>
      </c>
      <c r="T66" s="76">
        <f>($C$7+$D$7+$E$7)*Table5[[#This Row],[Locality''s Allocation Percentage ]]</f>
        <v>15213.786213596468</v>
      </c>
      <c r="U66" s="76">
        <f>$F$7*Table5[[#This Row],[Locality''s Allocation Percentage ]]</f>
        <v>5578.3882783187046</v>
      </c>
      <c r="V66" s="76">
        <f t="shared" si="3"/>
        <v>1394.5970695796761</v>
      </c>
    </row>
    <row r="67" spans="2:22" s="19" customFormat="1" ht="18" customHeight="1" x14ac:dyDescent="0.25">
      <c r="B67" s="19" t="s">
        <v>76</v>
      </c>
      <c r="C67" s="141">
        <v>23502936.852050558</v>
      </c>
      <c r="D67" s="141">
        <v>23502936.852050558</v>
      </c>
      <c r="J67" s="36" t="s">
        <v>267</v>
      </c>
      <c r="K67" s="37">
        <v>6.1200612006120101E-3</v>
      </c>
      <c r="M67" s="22" t="s">
        <v>132</v>
      </c>
      <c r="N67" s="61">
        <f>($C$5+$D$5+$E$5)*Table5[[#This Row],[Locality''s Allocation Percentage ]]</f>
        <v>24886.061070084037</v>
      </c>
      <c r="O67" s="61">
        <f>$F$5*Table5[[#This Row],[Locality''s Allocation Percentage ]]</f>
        <v>0</v>
      </c>
      <c r="P67" s="61">
        <f t="shared" si="1"/>
        <v>0</v>
      </c>
      <c r="Q67" s="61">
        <f>($C$6+$D$6+$E$6)*Table5[[#This Row],[Locality''s Allocation Percentage ]]</f>
        <v>157542.33419315558</v>
      </c>
      <c r="R67" s="61">
        <f>$F$6*Table5[[#This Row],[Locality''s Allocation Percentage ]]</f>
        <v>57007.084961477834</v>
      </c>
      <c r="S67" s="61">
        <f t="shared" si="2"/>
        <v>14251.771240369459</v>
      </c>
      <c r="T67" s="76">
        <f>($C$7+$D$7+$E$7)*Table5[[#This Row],[Locality''s Allocation Percentage ]]</f>
        <v>26154.036973935541</v>
      </c>
      <c r="U67" s="76">
        <f>$F$7*Table5[[#This Row],[Locality''s Allocation Percentage ]]</f>
        <v>9589.8135571096991</v>
      </c>
      <c r="V67" s="76">
        <f t="shared" si="3"/>
        <v>2397.4533892774248</v>
      </c>
    </row>
    <row r="68" spans="2:22" s="19" customFormat="1" ht="18" customHeight="1" x14ac:dyDescent="0.25">
      <c r="B68" s="19" t="s">
        <v>78</v>
      </c>
      <c r="C68" s="141">
        <v>23502936.852050558</v>
      </c>
      <c r="D68" s="141">
        <v>23502936.852050558</v>
      </c>
      <c r="J68" s="36" t="s">
        <v>268</v>
      </c>
      <c r="K68" s="37">
        <v>3.0600306003059998E-3</v>
      </c>
      <c r="M68" s="22" t="s">
        <v>134</v>
      </c>
      <c r="N68" s="61">
        <f>($C$5+$D$5+$E$5)*Table5[[#This Row],[Locality''s Allocation Percentage ]]</f>
        <v>12443.030535041999</v>
      </c>
      <c r="O68" s="61">
        <f>$F$5*Table5[[#This Row],[Locality''s Allocation Percentage ]]</f>
        <v>0</v>
      </c>
      <c r="P68" s="61">
        <f t="shared" si="1"/>
        <v>0</v>
      </c>
      <c r="Q68" s="61">
        <f>($C$6+$D$6+$E$6)*Table5[[#This Row],[Locality''s Allocation Percentage ]]</f>
        <v>78771.167096577658</v>
      </c>
      <c r="R68" s="61">
        <f>$F$6*Table5[[#This Row],[Locality''s Allocation Percentage ]]</f>
        <v>28503.542480738866</v>
      </c>
      <c r="S68" s="61">
        <f t="shared" si="2"/>
        <v>7125.8856201847166</v>
      </c>
      <c r="T68" s="76">
        <f>($C$7+$D$7+$E$7)*Table5[[#This Row],[Locality''s Allocation Percentage ]]</f>
        <v>13077.018486967749</v>
      </c>
      <c r="U68" s="76">
        <f>$F$7*Table5[[#This Row],[Locality''s Allocation Percentage ]]</f>
        <v>4794.9067785548414</v>
      </c>
      <c r="V68" s="76">
        <f t="shared" si="3"/>
        <v>1198.7266946387103</v>
      </c>
    </row>
    <row r="69" spans="2:22" s="19" customFormat="1" ht="18" customHeight="1" x14ac:dyDescent="0.25">
      <c r="B69" s="19" t="s">
        <v>80</v>
      </c>
      <c r="C69" s="141">
        <v>23502936.852050558</v>
      </c>
      <c r="D69" s="141">
        <v>23502936.852050558</v>
      </c>
      <c r="J69" s="36" t="s">
        <v>269</v>
      </c>
      <c r="K69" s="37">
        <v>1.7800178001780001E-3</v>
      </c>
      <c r="M69" s="22" t="s">
        <v>135</v>
      </c>
      <c r="N69" s="61">
        <f>($C$5+$D$5+$E$5)*Table5[[#This Row],[Locality''s Allocation Percentage ]]</f>
        <v>7238.1027295342346</v>
      </c>
      <c r="O69" s="61">
        <f>$F$5*Table5[[#This Row],[Locality''s Allocation Percentage ]]</f>
        <v>0</v>
      </c>
      <c r="P69" s="61">
        <f t="shared" ref="P69:P132" si="9">O69*0.25</f>
        <v>0</v>
      </c>
      <c r="Q69" s="61">
        <f>($C$6+$D$6+$E$6)*Table5[[#This Row],[Locality''s Allocation Percentage ]]</f>
        <v>45821.136415656292</v>
      </c>
      <c r="R69" s="61">
        <f>$F$6*Table5[[#This Row],[Locality''s Allocation Percentage ]]</f>
        <v>16580.492031279475</v>
      </c>
      <c r="S69" s="61">
        <f t="shared" ref="S69:S132" si="10">R69*0.25</f>
        <v>4145.1230078198687</v>
      </c>
      <c r="T69" s="76">
        <f>($C$7+$D$7+$E$7)*Table5[[#This Row],[Locality''s Allocation Percentage ]]</f>
        <v>7606.8931067982339</v>
      </c>
      <c r="U69" s="76">
        <f>$F$7*Table5[[#This Row],[Locality''s Allocation Percentage ]]</f>
        <v>2789.1941391593523</v>
      </c>
      <c r="V69" s="76">
        <f t="shared" ref="V69:V132" si="11">U69*0.25</f>
        <v>697.29853478983807</v>
      </c>
    </row>
    <row r="70" spans="2:22" s="19" customFormat="1" ht="18" customHeight="1" x14ac:dyDescent="0.25">
      <c r="B70" s="19" t="s">
        <v>82</v>
      </c>
      <c r="C70" s="141">
        <v>23502936.852050558</v>
      </c>
      <c r="D70" s="141">
        <v>23502936.852050558</v>
      </c>
      <c r="J70" s="36" t="s">
        <v>270</v>
      </c>
      <c r="K70" s="37">
        <v>7.2000720007200003E-4</v>
      </c>
      <c r="M70" s="22" t="s">
        <v>133</v>
      </c>
      <c r="N70" s="61">
        <f>($C$5+$D$5+$E$5)*Table5[[#This Row],[Locality''s Allocation Percentage ]]</f>
        <v>2927.7718905981174</v>
      </c>
      <c r="O70" s="61">
        <f>$F$5*Table5[[#This Row],[Locality''s Allocation Percentage ]]</f>
        <v>0</v>
      </c>
      <c r="P70" s="61">
        <f t="shared" si="9"/>
        <v>0</v>
      </c>
      <c r="Q70" s="61">
        <f>($C$6+$D$6+$E$6)*Table5[[#This Row],[Locality''s Allocation Percentage ]]</f>
        <v>18534.392258018273</v>
      </c>
      <c r="R70" s="61">
        <f>$F$6*Table5[[#This Row],[Locality''s Allocation Percentage ]]</f>
        <v>6706.7158778209105</v>
      </c>
      <c r="S70" s="61">
        <f t="shared" si="10"/>
        <v>1676.6789694552276</v>
      </c>
      <c r="T70" s="76">
        <f>($C$7+$D$7+$E$7)*Table5[[#This Row],[Locality''s Allocation Percentage ]]</f>
        <v>3076.9455263453528</v>
      </c>
      <c r="U70" s="76">
        <f>$F$7*Table5[[#This Row],[Locality''s Allocation Percentage ]]</f>
        <v>1128.2133596599626</v>
      </c>
      <c r="V70" s="76">
        <f t="shared" si="11"/>
        <v>282.05333991499066</v>
      </c>
    </row>
    <row r="71" spans="2:22" s="19" customFormat="1" ht="18" customHeight="1" x14ac:dyDescent="0.25">
      <c r="B71" s="19" t="s">
        <v>84</v>
      </c>
      <c r="C71" s="141">
        <v>23502936.852050558</v>
      </c>
      <c r="D71" s="141">
        <v>23502936.852050558</v>
      </c>
      <c r="J71" s="36" t="s">
        <v>271</v>
      </c>
      <c r="K71" s="37">
        <v>1.350013500135E-3</v>
      </c>
      <c r="M71" s="22" t="s">
        <v>136</v>
      </c>
      <c r="N71" s="61">
        <f>($C$5+$D$5+$E$5)*Table5[[#This Row],[Locality''s Allocation Percentage ]]</f>
        <v>5489.5722948714701</v>
      </c>
      <c r="O71" s="61">
        <f>$F$5*Table5[[#This Row],[Locality''s Allocation Percentage ]]</f>
        <v>0</v>
      </c>
      <c r="P71" s="61">
        <f t="shared" si="9"/>
        <v>0</v>
      </c>
      <c r="Q71" s="61">
        <f>($C$6+$D$6+$E$6)*Table5[[#This Row],[Locality''s Allocation Percentage ]]</f>
        <v>34751.985483784265</v>
      </c>
      <c r="R71" s="61">
        <f>$F$6*Table5[[#This Row],[Locality''s Allocation Percentage ]]</f>
        <v>12575.092270914207</v>
      </c>
      <c r="S71" s="61">
        <f t="shared" si="10"/>
        <v>3143.7730677285517</v>
      </c>
      <c r="T71" s="76">
        <f>($C$7+$D$7+$E$7)*Table5[[#This Row],[Locality''s Allocation Percentage ]]</f>
        <v>5769.2728618975361</v>
      </c>
      <c r="U71" s="76">
        <f>$F$7*Table5[[#This Row],[Locality''s Allocation Percentage ]]</f>
        <v>2115.4000493624299</v>
      </c>
      <c r="V71" s="76">
        <f t="shared" si="11"/>
        <v>528.85001234060746</v>
      </c>
    </row>
    <row r="72" spans="2:22" s="19" customFormat="1" ht="18" customHeight="1" x14ac:dyDescent="0.25">
      <c r="B72" s="19" t="s">
        <v>86</v>
      </c>
      <c r="C72" s="141">
        <v>23502936.852050558</v>
      </c>
      <c r="D72" s="141">
        <v>23502936.852050558</v>
      </c>
      <c r="J72" s="36" t="s">
        <v>272</v>
      </c>
      <c r="K72" s="37">
        <v>5.5600556005560098E-3</v>
      </c>
      <c r="M72" s="22" t="s">
        <v>137</v>
      </c>
      <c r="N72" s="61">
        <f>($C$5+$D$5+$E$5)*Table5[[#This Row],[Locality''s Allocation Percentage ]]</f>
        <v>22608.905155174391</v>
      </c>
      <c r="O72" s="61">
        <f>$F$5*Table5[[#This Row],[Locality''s Allocation Percentage ]]</f>
        <v>0</v>
      </c>
      <c r="P72" s="61">
        <f t="shared" si="9"/>
        <v>0</v>
      </c>
      <c r="Q72" s="61">
        <f>($C$6+$D$6+$E$6)*Table5[[#This Row],[Locality''s Allocation Percentage ]]</f>
        <v>143126.6957702525</v>
      </c>
      <c r="R72" s="61">
        <f>$F$6*Table5[[#This Row],[Locality''s Allocation Percentage ]]</f>
        <v>51790.750389839341</v>
      </c>
      <c r="S72" s="61">
        <f t="shared" si="10"/>
        <v>12947.687597459835</v>
      </c>
      <c r="T72" s="76">
        <f>($C$7+$D$7+$E$7)*Table5[[#This Row],[Locality''s Allocation Percentage ]]</f>
        <v>23760.857120111377</v>
      </c>
      <c r="U72" s="76">
        <f>$F$7*Table5[[#This Row],[Locality''s Allocation Percentage ]]</f>
        <v>8712.3142773741711</v>
      </c>
      <c r="V72" s="76">
        <f t="shared" si="11"/>
        <v>2178.0785693435428</v>
      </c>
    </row>
    <row r="73" spans="2:22" s="19" customFormat="1" ht="18" customHeight="1" x14ac:dyDescent="0.25">
      <c r="B73" s="19" t="s">
        <v>88</v>
      </c>
      <c r="C73" s="141">
        <v>23502936.852050558</v>
      </c>
      <c r="D73" s="141">
        <v>23502936.852050558</v>
      </c>
      <c r="J73" s="36" t="s">
        <v>138</v>
      </c>
      <c r="K73" s="37">
        <v>9.3000930009300002E-4</v>
      </c>
      <c r="M73" s="22" t="s">
        <v>138</v>
      </c>
      <c r="N73" s="61">
        <f>($C$5+$D$5+$E$5)*Table5[[#This Row],[Locality''s Allocation Percentage ]]</f>
        <v>3781.7053586892348</v>
      </c>
      <c r="O73" s="61">
        <f>$F$5*Table5[[#This Row],[Locality''s Allocation Percentage ]]</f>
        <v>0</v>
      </c>
      <c r="P73" s="61">
        <f t="shared" si="9"/>
        <v>0</v>
      </c>
      <c r="Q73" s="61">
        <f>($C$6+$D$6+$E$6)*Table5[[#This Row],[Locality''s Allocation Percentage ]]</f>
        <v>23940.25666660694</v>
      </c>
      <c r="R73" s="61">
        <f>$F$6*Table5[[#This Row],[Locality''s Allocation Percentage ]]</f>
        <v>8662.841342185342</v>
      </c>
      <c r="S73" s="61">
        <f t="shared" si="10"/>
        <v>2165.7103355463355</v>
      </c>
      <c r="T73" s="76">
        <f>($C$7+$D$7+$E$7)*Table5[[#This Row],[Locality''s Allocation Percentage ]]</f>
        <v>3974.3879715294142</v>
      </c>
      <c r="U73" s="76">
        <f>$F$7*Table5[[#This Row],[Locality''s Allocation Percentage ]]</f>
        <v>1457.2755895607852</v>
      </c>
      <c r="V73" s="76">
        <f t="shared" si="11"/>
        <v>364.3188973901963</v>
      </c>
    </row>
    <row r="74" spans="2:22" s="19" customFormat="1" ht="18" customHeight="1" x14ac:dyDescent="0.25">
      <c r="J74" s="36" t="s">
        <v>273</v>
      </c>
      <c r="K74" s="37">
        <v>2.5670256702567E-2</v>
      </c>
      <c r="M74" s="22" t="s">
        <v>139</v>
      </c>
      <c r="N74" s="61">
        <f>($C$5+$D$5+$E$5)*Table5[[#This Row],[Locality''s Allocation Percentage ]]</f>
        <v>104383.20059951898</v>
      </c>
      <c r="O74" s="61">
        <f>$F$5*Table5[[#This Row],[Locality''s Allocation Percentage ]]</f>
        <v>0</v>
      </c>
      <c r="P74" s="61">
        <f t="shared" si="9"/>
        <v>0</v>
      </c>
      <c r="Q74" s="61">
        <f>($C$6+$D$6+$E$6)*Table5[[#This Row],[Locality''s Allocation Percentage ]]</f>
        <v>660802.56842129037</v>
      </c>
      <c r="R74" s="61">
        <f>$F$6*Table5[[#This Row],[Locality''s Allocation Percentage ]]</f>
        <v>239113.05081064274</v>
      </c>
      <c r="S74" s="61">
        <f t="shared" si="10"/>
        <v>59778.262702660686</v>
      </c>
      <c r="T74" s="76">
        <f>($C$7+$D$7+$E$7)*Table5[[#This Row],[Locality''s Allocation Percentage ]]</f>
        <v>109701.65508511834</v>
      </c>
      <c r="U74" s="76">
        <f>$F$7*Table5[[#This Row],[Locality''s Allocation Percentage ]]</f>
        <v>40223.940197876727</v>
      </c>
      <c r="V74" s="76">
        <f t="shared" si="11"/>
        <v>10055.985049469182</v>
      </c>
    </row>
    <row r="75" spans="2:22" s="19" customFormat="1" ht="18" customHeight="1" x14ac:dyDescent="0.25">
      <c r="C75" s="141">
        <f>SUM(C56:C73)</f>
        <v>423052863.31775701</v>
      </c>
      <c r="D75" s="141">
        <f>SUM(D56:D73)</f>
        <v>418985209.67249095</v>
      </c>
      <c r="J75" s="36" t="s">
        <v>274</v>
      </c>
      <c r="K75" s="37">
        <v>4.4900449004490004E-3</v>
      </c>
      <c r="M75" s="22" t="s">
        <v>140</v>
      </c>
      <c r="N75" s="61">
        <f>($C$5+$D$5+$E$5)*Table5[[#This Row],[Locality''s Allocation Percentage ]]</f>
        <v>18257.910817757704</v>
      </c>
      <c r="O75" s="61">
        <f>$F$5*Table5[[#This Row],[Locality''s Allocation Percentage ]]</f>
        <v>0</v>
      </c>
      <c r="P75" s="61">
        <f t="shared" si="9"/>
        <v>0</v>
      </c>
      <c r="Q75" s="61">
        <f>($C$6+$D$6+$E$6)*Table5[[#This Row],[Locality''s Allocation Percentage ]]</f>
        <v>115582.52949791953</v>
      </c>
      <c r="R75" s="61">
        <f>$F$6*Table5[[#This Row],[Locality''s Allocation Percentage ]]</f>
        <v>41823.82540474429</v>
      </c>
      <c r="S75" s="61">
        <f t="shared" si="10"/>
        <v>10455.956351186072</v>
      </c>
      <c r="T75" s="76">
        <f>($C$7+$D$7+$E$7)*Table5[[#This Row],[Locality''s Allocation Percentage ]]</f>
        <v>19188.174185125881</v>
      </c>
      <c r="U75" s="76">
        <f>$F$7*Table5[[#This Row],[Locality''s Allocation Percentage ]]</f>
        <v>7035.6638678794898</v>
      </c>
      <c r="V75" s="76">
        <f t="shared" si="11"/>
        <v>1758.9159669698724</v>
      </c>
    </row>
    <row r="76" spans="2:22" s="19" customFormat="1" ht="18" customHeight="1" x14ac:dyDescent="0.25">
      <c r="J76" s="36" t="s">
        <v>275</v>
      </c>
      <c r="K76" s="37">
        <v>8.8000880008800002E-4</v>
      </c>
      <c r="M76" s="22" t="s">
        <v>141</v>
      </c>
      <c r="N76" s="61">
        <f>($C$5+$D$5+$E$5)*Table5[[#This Row],[Locality''s Allocation Percentage ]]</f>
        <v>3578.3878662865877</v>
      </c>
      <c r="O76" s="61">
        <f>$F$5*Table5[[#This Row],[Locality''s Allocation Percentage ]]</f>
        <v>0</v>
      </c>
      <c r="P76" s="61">
        <f t="shared" si="9"/>
        <v>0</v>
      </c>
      <c r="Q76" s="61">
        <f>($C$6+$D$6+$E$6)*Table5[[#This Row],[Locality''s Allocation Percentage ]]</f>
        <v>22653.146093133448</v>
      </c>
      <c r="R76" s="61">
        <f>$F$6*Table5[[#This Row],[Locality''s Allocation Percentage ]]</f>
        <v>8197.0971840033344</v>
      </c>
      <c r="S76" s="61">
        <f t="shared" si="10"/>
        <v>2049.2742960008336</v>
      </c>
      <c r="T76" s="76">
        <f>($C$7+$D$7+$E$7)*Table5[[#This Row],[Locality''s Allocation Percentage ]]</f>
        <v>3760.7111988665424</v>
      </c>
      <c r="U76" s="76">
        <f>$F$7*Table5[[#This Row],[Locality''s Allocation Percentage ]]</f>
        <v>1378.9274395843988</v>
      </c>
      <c r="V76" s="76">
        <f t="shared" si="11"/>
        <v>344.73185989609971</v>
      </c>
    </row>
    <row r="77" spans="2:22" s="19" customFormat="1" ht="18" customHeight="1" x14ac:dyDescent="0.25">
      <c r="D77" s="19">
        <v>429539203.13999999</v>
      </c>
      <c r="J77" s="36" t="s">
        <v>142</v>
      </c>
      <c r="K77" s="37">
        <v>8.1600816008160094E-3</v>
      </c>
      <c r="M77" s="22" t="s">
        <v>142</v>
      </c>
      <c r="N77" s="61">
        <f>($C$5+$D$5+$E$5)*Table5[[#This Row],[Locality''s Allocation Percentage ]]</f>
        <v>33181.414760112035</v>
      </c>
      <c r="O77" s="61">
        <f>$F$5*Table5[[#This Row],[Locality''s Allocation Percentage ]]</f>
        <v>0</v>
      </c>
      <c r="P77" s="61">
        <f t="shared" si="9"/>
        <v>0</v>
      </c>
      <c r="Q77" s="61">
        <f>($C$6+$D$6+$E$6)*Table5[[#This Row],[Locality''s Allocation Percentage ]]</f>
        <v>210056.44559087401</v>
      </c>
      <c r="R77" s="61">
        <f>$F$6*Table5[[#This Row],[Locality''s Allocation Percentage ]]</f>
        <v>76009.446615303736</v>
      </c>
      <c r="S77" s="61">
        <f t="shared" si="10"/>
        <v>19002.361653825934</v>
      </c>
      <c r="T77" s="76">
        <f>($C$7+$D$7+$E$7)*Table5[[#This Row],[Locality''s Allocation Percentage ]]</f>
        <v>34872.049298580707</v>
      </c>
      <c r="U77" s="76">
        <f>$F$7*Table5[[#This Row],[Locality''s Allocation Percentage ]]</f>
        <v>12786.418076146258</v>
      </c>
      <c r="V77" s="76">
        <f t="shared" si="11"/>
        <v>3196.6045190365644</v>
      </c>
    </row>
    <row r="78" spans="2:22" s="19" customFormat="1" ht="18" customHeight="1" x14ac:dyDescent="0.25">
      <c r="J78" s="36" t="s">
        <v>276</v>
      </c>
      <c r="K78" s="37">
        <v>1.6300163001629999E-3</v>
      </c>
      <c r="M78" s="22" t="s">
        <v>143</v>
      </c>
      <c r="N78" s="61">
        <f>($C$5+$D$5+$E$5)*Table5[[#This Row],[Locality''s Allocation Percentage ]]</f>
        <v>6628.1502523262925</v>
      </c>
      <c r="O78" s="61">
        <f>$F$5*Table5[[#This Row],[Locality''s Allocation Percentage ]]</f>
        <v>0</v>
      </c>
      <c r="P78" s="61">
        <f t="shared" si="9"/>
        <v>0</v>
      </c>
      <c r="Q78" s="61">
        <f>($C$6+$D$6+$E$6)*Table5[[#This Row],[Locality''s Allocation Percentage ]]</f>
        <v>41959.804695235813</v>
      </c>
      <c r="R78" s="61">
        <f>$F$6*Table5[[#This Row],[Locality''s Allocation Percentage ]]</f>
        <v>15183.259556733448</v>
      </c>
      <c r="S78" s="61">
        <f t="shared" si="10"/>
        <v>3795.8148891833621</v>
      </c>
      <c r="T78" s="76">
        <f>($C$7+$D$7+$E$7)*Table5[[#This Row],[Locality''s Allocation Percentage ]]</f>
        <v>6965.862788809618</v>
      </c>
      <c r="U78" s="76">
        <f>$F$7*Table5[[#This Row],[Locality''s Allocation Percentage ]]</f>
        <v>2554.149689230193</v>
      </c>
      <c r="V78" s="76">
        <f t="shared" si="11"/>
        <v>638.53742230754824</v>
      </c>
    </row>
    <row r="79" spans="2:22" s="19" customFormat="1" ht="18" customHeight="1" x14ac:dyDescent="0.25">
      <c r="D79" s="141">
        <f>D77-D75</f>
        <v>10553993.467509031</v>
      </c>
      <c r="E79" s="19" t="s">
        <v>277</v>
      </c>
      <c r="J79" s="36" t="s">
        <v>144</v>
      </c>
      <c r="K79" s="37">
        <v>4.5200452004519999E-3</v>
      </c>
      <c r="M79" s="22" t="s">
        <v>144</v>
      </c>
      <c r="N79" s="61">
        <f>($C$5+$D$5+$E$5)*Table5[[#This Row],[Locality''s Allocation Percentage ]]</f>
        <v>18379.901313199291</v>
      </c>
      <c r="O79" s="61">
        <f>$F$5*Table5[[#This Row],[Locality''s Allocation Percentage ]]</f>
        <v>0</v>
      </c>
      <c r="P79" s="61">
        <f t="shared" si="9"/>
        <v>0</v>
      </c>
      <c r="Q79" s="61">
        <f>($C$6+$D$6+$E$6)*Table5[[#This Row],[Locality''s Allocation Percentage ]]</f>
        <v>116354.79584200362</v>
      </c>
      <c r="R79" s="61">
        <f>$F$6*Table5[[#This Row],[Locality''s Allocation Percentage ]]</f>
        <v>42103.27189965349</v>
      </c>
      <c r="S79" s="61">
        <f t="shared" si="10"/>
        <v>10525.817974913372</v>
      </c>
      <c r="T79" s="76">
        <f>($C$7+$D$7+$E$7)*Table5[[#This Row],[Locality''s Allocation Percentage ]]</f>
        <v>19316.380248723603</v>
      </c>
      <c r="U79" s="76">
        <f>$F$7*Table5[[#This Row],[Locality''s Allocation Percentage ]]</f>
        <v>7082.6727578653208</v>
      </c>
      <c r="V79" s="76">
        <f t="shared" si="11"/>
        <v>1770.6681894663302</v>
      </c>
    </row>
    <row r="80" spans="2:22" s="19" customFormat="1" ht="18" customHeight="1" x14ac:dyDescent="0.25">
      <c r="J80" s="36" t="s">
        <v>145</v>
      </c>
      <c r="K80" s="37">
        <v>9.5000950009499995E-4</v>
      </c>
      <c r="M80" s="22" t="s">
        <v>145</v>
      </c>
      <c r="N80" s="61">
        <f>($C$5+$D$5+$E$5)*Table5[[#This Row],[Locality''s Allocation Percentage ]]</f>
        <v>3863.0323556502935</v>
      </c>
      <c r="O80" s="61">
        <f>$F$5*Table5[[#This Row],[Locality''s Allocation Percentage ]]</f>
        <v>0</v>
      </c>
      <c r="P80" s="61">
        <f t="shared" si="9"/>
        <v>0</v>
      </c>
      <c r="Q80" s="61">
        <f>($C$6+$D$6+$E$6)*Table5[[#This Row],[Locality''s Allocation Percentage ]]</f>
        <v>24455.100895996333</v>
      </c>
      <c r="R80" s="61">
        <f>$F$6*Table5[[#This Row],[Locality''s Allocation Percentage ]]</f>
        <v>8849.1390054581443</v>
      </c>
      <c r="S80" s="61">
        <f t="shared" si="10"/>
        <v>2212.2847513645361</v>
      </c>
      <c r="T80" s="76">
        <f>($C$7+$D$7+$E$7)*Table5[[#This Row],[Locality''s Allocation Percentage ]]</f>
        <v>4059.8586805945624</v>
      </c>
      <c r="U80" s="76">
        <f>$F$7*Table5[[#This Row],[Locality''s Allocation Percentage ]]</f>
        <v>1488.6148495513396</v>
      </c>
      <c r="V80" s="76">
        <f t="shared" si="11"/>
        <v>372.1537123878349</v>
      </c>
    </row>
    <row r="81" spans="7:22" s="19" customFormat="1" ht="18" customHeight="1" x14ac:dyDescent="0.25">
      <c r="J81" s="36" t="s">
        <v>146</v>
      </c>
      <c r="K81" s="37">
        <v>4.9400494004940001E-3</v>
      </c>
      <c r="M81" s="22" t="s">
        <v>146</v>
      </c>
      <c r="N81" s="61">
        <f>($C$5+$D$5+$E$5)*Table5[[#This Row],[Locality''s Allocation Percentage ]]</f>
        <v>20087.768249381526</v>
      </c>
      <c r="O81" s="61">
        <f>$F$5*Table5[[#This Row],[Locality''s Allocation Percentage ]]</f>
        <v>0</v>
      </c>
      <c r="P81" s="61">
        <f t="shared" si="9"/>
        <v>0</v>
      </c>
      <c r="Q81" s="61">
        <f>($C$6+$D$6+$E$6)*Table5[[#This Row],[Locality''s Allocation Percentage ]]</f>
        <v>127166.52465918094</v>
      </c>
      <c r="R81" s="61">
        <f>$F$6*Table5[[#This Row],[Locality''s Allocation Percentage ]]</f>
        <v>46015.52282838236</v>
      </c>
      <c r="S81" s="61">
        <f t="shared" si="10"/>
        <v>11503.88070709559</v>
      </c>
      <c r="T81" s="76">
        <f>($C$7+$D$7+$E$7)*Table5[[#This Row],[Locality''s Allocation Percentage ]]</f>
        <v>21111.265139091727</v>
      </c>
      <c r="U81" s="76">
        <f>$F$7*Table5[[#This Row],[Locality''s Allocation Percentage ]]</f>
        <v>7740.7972176669664</v>
      </c>
      <c r="V81" s="76">
        <f t="shared" si="11"/>
        <v>1935.1993044167416</v>
      </c>
    </row>
    <row r="82" spans="7:22" s="19" customFormat="1" ht="18" customHeight="1" x14ac:dyDescent="0.25">
      <c r="J82" s="36" t="s">
        <v>278</v>
      </c>
      <c r="K82" s="37">
        <v>8.8000880008800002E-4</v>
      </c>
      <c r="M82" s="22" t="s">
        <v>147</v>
      </c>
      <c r="N82" s="61">
        <f>($C$5+$D$5+$E$5)*Table5[[#This Row],[Locality''s Allocation Percentage ]]</f>
        <v>3578.3878662865877</v>
      </c>
      <c r="O82" s="61">
        <f>$F$5*Table5[[#This Row],[Locality''s Allocation Percentage ]]</f>
        <v>0</v>
      </c>
      <c r="P82" s="61">
        <f t="shared" si="9"/>
        <v>0</v>
      </c>
      <c r="Q82" s="61">
        <f>($C$6+$D$6+$E$6)*Table5[[#This Row],[Locality''s Allocation Percentage ]]</f>
        <v>22653.146093133448</v>
      </c>
      <c r="R82" s="61">
        <f>$F$6*Table5[[#This Row],[Locality''s Allocation Percentage ]]</f>
        <v>8197.0971840033344</v>
      </c>
      <c r="S82" s="61">
        <f t="shared" si="10"/>
        <v>2049.2742960008336</v>
      </c>
      <c r="T82" s="76">
        <f>($C$7+$D$7+$E$7)*Table5[[#This Row],[Locality''s Allocation Percentage ]]</f>
        <v>3760.7111988665424</v>
      </c>
      <c r="U82" s="76">
        <f>$F$7*Table5[[#This Row],[Locality''s Allocation Percentage ]]</f>
        <v>1378.9274395843988</v>
      </c>
      <c r="V82" s="76">
        <f t="shared" si="11"/>
        <v>344.73185989609971</v>
      </c>
    </row>
    <row r="83" spans="7:22" s="19" customFormat="1" ht="18" customHeight="1" x14ac:dyDescent="0.25">
      <c r="J83" s="36" t="s">
        <v>279</v>
      </c>
      <c r="K83" s="37">
        <v>3.4400344003439999E-3</v>
      </c>
      <c r="M83" s="22" t="s">
        <v>148</v>
      </c>
      <c r="N83" s="61">
        <f>($C$5+$D$5+$E$5)*Table5[[#This Row],[Locality''s Allocation Percentage ]]</f>
        <v>13988.243477302116</v>
      </c>
      <c r="O83" s="61">
        <f>$F$5*Table5[[#This Row],[Locality''s Allocation Percentage ]]</f>
        <v>0</v>
      </c>
      <c r="P83" s="61">
        <f t="shared" si="9"/>
        <v>0</v>
      </c>
      <c r="Q83" s="61">
        <f>($C$6+$D$6+$E$6)*Table5[[#This Row],[Locality''s Allocation Percentage ]]</f>
        <v>88553.207454976204</v>
      </c>
      <c r="R83" s="61">
        <f>$F$6*Table5[[#This Row],[Locality''s Allocation Percentage ]]</f>
        <v>32043.198082922128</v>
      </c>
      <c r="S83" s="61">
        <f t="shared" si="10"/>
        <v>8010.7995207305321</v>
      </c>
      <c r="T83" s="76">
        <f>($C$7+$D$7+$E$7)*Table5[[#This Row],[Locality''s Allocation Percentage ]]</f>
        <v>14700.961959205575</v>
      </c>
      <c r="U83" s="76">
        <f>$F$7*Table5[[#This Row],[Locality''s Allocation Percentage ]]</f>
        <v>5390.3527183753768</v>
      </c>
      <c r="V83" s="76">
        <f t="shared" si="11"/>
        <v>1347.5881795938442</v>
      </c>
    </row>
    <row r="84" spans="7:22" s="19" customFormat="1" ht="18" customHeight="1" x14ac:dyDescent="0.25">
      <c r="J84" s="36" t="s">
        <v>280</v>
      </c>
      <c r="K84" s="37">
        <v>1.080010800108E-3</v>
      </c>
      <c r="M84" s="22" t="s">
        <v>149</v>
      </c>
      <c r="N84" s="61">
        <f>($C$5+$D$5+$E$5)*Table5[[#This Row],[Locality''s Allocation Percentage ]]</f>
        <v>4391.6578358971756</v>
      </c>
      <c r="O84" s="61">
        <f>$F$5*Table5[[#This Row],[Locality''s Allocation Percentage ]]</f>
        <v>0</v>
      </c>
      <c r="P84" s="61">
        <f t="shared" si="9"/>
        <v>0</v>
      </c>
      <c r="Q84" s="61">
        <f>($C$6+$D$6+$E$6)*Table5[[#This Row],[Locality''s Allocation Percentage ]]</f>
        <v>27801.588387027412</v>
      </c>
      <c r="R84" s="61">
        <f>$F$6*Table5[[#This Row],[Locality''s Allocation Percentage ]]</f>
        <v>10060.073816731365</v>
      </c>
      <c r="S84" s="61">
        <f t="shared" si="10"/>
        <v>2515.0184541828412</v>
      </c>
      <c r="T84" s="76">
        <f>($C$7+$D$7+$E$7)*Table5[[#This Row],[Locality''s Allocation Percentage ]]</f>
        <v>4615.4182895180293</v>
      </c>
      <c r="U84" s="76">
        <f>$F$7*Table5[[#This Row],[Locality''s Allocation Percentage ]]</f>
        <v>1692.3200394899441</v>
      </c>
      <c r="V84" s="76">
        <f t="shared" si="11"/>
        <v>423.08000987248602</v>
      </c>
    </row>
    <row r="85" spans="7:22" s="19" customFormat="1" ht="18" customHeight="1" x14ac:dyDescent="0.25">
      <c r="J85" s="36" t="s">
        <v>281</v>
      </c>
      <c r="K85" s="37">
        <v>1.2050120501205E-2</v>
      </c>
      <c r="M85" s="22" t="s">
        <v>150</v>
      </c>
      <c r="N85" s="61">
        <f>($C$5+$D$5+$E$5)*Table5[[#This Row],[Locality''s Allocation Percentage ]]</f>
        <v>48999.515669037937</v>
      </c>
      <c r="O85" s="61">
        <f>$F$5*Table5[[#This Row],[Locality''s Allocation Percentage ]]</f>
        <v>0</v>
      </c>
      <c r="P85" s="61">
        <f t="shared" si="9"/>
        <v>0</v>
      </c>
      <c r="Q85" s="61">
        <f>($C$6+$D$6+$E$6)*Table5[[#This Row],[Locality''s Allocation Percentage ]]</f>
        <v>310193.6482071114</v>
      </c>
      <c r="R85" s="61">
        <f>$F$6*Table5[[#This Row],[Locality''s Allocation Percentage ]]</f>
        <v>112244.34212186385</v>
      </c>
      <c r="S85" s="61">
        <f t="shared" si="10"/>
        <v>28061.085530465964</v>
      </c>
      <c r="T85" s="76">
        <f>($C$7+$D$7+$E$7)*Table5[[#This Row],[Locality''s Allocation Percentage ]]</f>
        <v>51496.102211752084</v>
      </c>
      <c r="U85" s="76">
        <f>$F$7*Table5[[#This Row],[Locality''s Allocation Percentage ]]</f>
        <v>18881.904144309097</v>
      </c>
      <c r="V85" s="76">
        <f t="shared" si="11"/>
        <v>4720.4760360772743</v>
      </c>
    </row>
    <row r="86" spans="7:22" s="19" customFormat="1" ht="18" customHeight="1" x14ac:dyDescent="0.25">
      <c r="J86" s="36" t="s">
        <v>282</v>
      </c>
      <c r="K86" s="37">
        <v>1.470014700147E-3</v>
      </c>
      <c r="M86" s="22" t="s">
        <v>151</v>
      </c>
      <c r="N86" s="61">
        <f>($C$5+$D$5+$E$5)*Table5[[#This Row],[Locality''s Allocation Percentage ]]</f>
        <v>5977.5342766378226</v>
      </c>
      <c r="O86" s="61">
        <f>$F$5*Table5[[#This Row],[Locality''s Allocation Percentage ]]</f>
        <v>0</v>
      </c>
      <c r="P86" s="61">
        <f t="shared" si="9"/>
        <v>0</v>
      </c>
      <c r="Q86" s="61">
        <f>($C$6+$D$6+$E$6)*Table5[[#This Row],[Locality''s Allocation Percentage ]]</f>
        <v>37841.050860120646</v>
      </c>
      <c r="R86" s="61">
        <f>$F$6*Table5[[#This Row],[Locality''s Allocation Percentage ]]</f>
        <v>13692.878250551026</v>
      </c>
      <c r="S86" s="61">
        <f t="shared" si="10"/>
        <v>3423.2195626377566</v>
      </c>
      <c r="T86" s="76">
        <f>($C$7+$D$7+$E$7)*Table5[[#This Row],[Locality''s Allocation Percentage ]]</f>
        <v>6282.0971162884289</v>
      </c>
      <c r="U86" s="76">
        <f>$F$7*Table5[[#This Row],[Locality''s Allocation Percentage ]]</f>
        <v>2303.4356093057572</v>
      </c>
      <c r="V86" s="76">
        <f t="shared" si="11"/>
        <v>575.85890232643931</v>
      </c>
    </row>
    <row r="87" spans="7:22" s="19" customFormat="1" ht="18" customHeight="1" x14ac:dyDescent="0.25">
      <c r="J87" s="36" t="s">
        <v>283</v>
      </c>
      <c r="K87" s="37">
        <v>1.5600156001560001E-3</v>
      </c>
      <c r="M87" s="22" t="s">
        <v>152</v>
      </c>
      <c r="N87" s="61">
        <f>($C$5+$D$5+$E$5)*Table5[[#This Row],[Locality''s Allocation Percentage ]]</f>
        <v>6343.5057629625881</v>
      </c>
      <c r="O87" s="61">
        <f>$F$5*Table5[[#This Row],[Locality''s Allocation Percentage ]]</f>
        <v>0</v>
      </c>
      <c r="P87" s="61">
        <f t="shared" si="9"/>
        <v>0</v>
      </c>
      <c r="Q87" s="61">
        <f>($C$6+$D$6+$E$6)*Table5[[#This Row],[Locality''s Allocation Percentage ]]</f>
        <v>40157.849892372928</v>
      </c>
      <c r="R87" s="61">
        <f>$F$6*Table5[[#This Row],[Locality''s Allocation Percentage ]]</f>
        <v>14531.21773527864</v>
      </c>
      <c r="S87" s="61">
        <f t="shared" si="10"/>
        <v>3632.8044338196601</v>
      </c>
      <c r="T87" s="76">
        <f>($C$7+$D$7+$E$7)*Table5[[#This Row],[Locality''s Allocation Percentage ]]</f>
        <v>6666.7153070815984</v>
      </c>
      <c r="U87" s="76">
        <f>$F$7*Table5[[#This Row],[Locality''s Allocation Percentage ]]</f>
        <v>2444.4622792632526</v>
      </c>
      <c r="V87" s="76">
        <f t="shared" si="11"/>
        <v>611.11556981581316</v>
      </c>
    </row>
    <row r="88" spans="7:22" s="19" customFormat="1" ht="18" customHeight="1" x14ac:dyDescent="0.25">
      <c r="J88" s="36" t="s">
        <v>153</v>
      </c>
      <c r="K88" s="37">
        <v>2.0470204702046999E-2</v>
      </c>
      <c r="M88" s="22" t="s">
        <v>153</v>
      </c>
      <c r="N88" s="61">
        <f>($C$5+$D$5+$E$5)*Table5[[#This Row],[Locality''s Allocation Percentage ]]</f>
        <v>83238.181389643694</v>
      </c>
      <c r="O88" s="61">
        <f>$F$5*Table5[[#This Row],[Locality''s Allocation Percentage ]]</f>
        <v>0</v>
      </c>
      <c r="P88" s="61">
        <f t="shared" si="9"/>
        <v>0</v>
      </c>
      <c r="Q88" s="61">
        <f>($C$6+$D$6+$E$6)*Table5[[#This Row],[Locality''s Allocation Percentage ]]</f>
        <v>526943.06878004735</v>
      </c>
      <c r="R88" s="61">
        <f>$F$6*Table5[[#This Row],[Locality''s Allocation Percentage ]]</f>
        <v>190675.65835971394</v>
      </c>
      <c r="S88" s="61">
        <f t="shared" si="10"/>
        <v>47668.914589928485</v>
      </c>
      <c r="T88" s="76">
        <f>($C$7+$D$7+$E$7)*Table5[[#This Row],[Locality''s Allocation Percentage ]]</f>
        <v>87479.270728179676</v>
      </c>
      <c r="U88" s="76">
        <f>$F$7*Table5[[#This Row],[Locality''s Allocation Percentage ]]</f>
        <v>32075.732600332551</v>
      </c>
      <c r="V88" s="76">
        <f t="shared" si="11"/>
        <v>8018.9331500831377</v>
      </c>
    </row>
    <row r="89" spans="7:22" s="19" customFormat="1" ht="18" customHeight="1" x14ac:dyDescent="0.25">
      <c r="J89" s="36" t="s">
        <v>154</v>
      </c>
      <c r="K89" s="37">
        <v>3.3880338803387998E-2</v>
      </c>
      <c r="M89" s="22" t="s">
        <v>154</v>
      </c>
      <c r="N89" s="61">
        <f>($C$5+$D$5+$E$5)*Table5[[#This Row],[Locality''s Allocation Percentage ]]</f>
        <v>137767.93285203361</v>
      </c>
      <c r="O89" s="61">
        <f>$F$5*Table5[[#This Row],[Locality''s Allocation Percentage ]]</f>
        <v>0</v>
      </c>
      <c r="P89" s="61">
        <f t="shared" si="9"/>
        <v>0</v>
      </c>
      <c r="Q89" s="61">
        <f>($C$6+$D$6+$E$6)*Table5[[#This Row],[Locality''s Allocation Percentage ]]</f>
        <v>872146.12458563759</v>
      </c>
      <c r="R89" s="61">
        <f>$F$6*Table5[[#This Row],[Locality''s Allocation Percentage ]]</f>
        <v>315588.24158412835</v>
      </c>
      <c r="S89" s="61">
        <f t="shared" si="10"/>
        <v>78897.060396032088</v>
      </c>
      <c r="T89" s="76">
        <f>($C$7+$D$7+$E$7)*Table5[[#This Row],[Locality''s Allocation Percentage ]]</f>
        <v>144787.38115636187</v>
      </c>
      <c r="U89" s="76">
        <f>$F$7*Table5[[#This Row],[Locality''s Allocation Percentage ]]</f>
        <v>53088.706423999349</v>
      </c>
      <c r="V89" s="76">
        <f t="shared" si="11"/>
        <v>13272.176605999837</v>
      </c>
    </row>
    <row r="90" spans="7:22" s="19" customFormat="1" ht="18" customHeight="1" x14ac:dyDescent="0.25">
      <c r="G90" s="35"/>
      <c r="J90" s="36" t="s">
        <v>284</v>
      </c>
      <c r="K90" s="37">
        <v>1.2200122001220001E-3</v>
      </c>
      <c r="M90" s="22" t="s">
        <v>155</v>
      </c>
      <c r="N90" s="61">
        <f>($C$5+$D$5+$E$5)*Table5[[#This Row],[Locality''s Allocation Percentage ]]</f>
        <v>4960.9468146245881</v>
      </c>
      <c r="O90" s="61">
        <f>$F$5*Table5[[#This Row],[Locality''s Allocation Percentage ]]</f>
        <v>0</v>
      </c>
      <c r="P90" s="61">
        <f t="shared" si="9"/>
        <v>0</v>
      </c>
      <c r="Q90" s="61">
        <f>($C$6+$D$6+$E$6)*Table5[[#This Row],[Locality''s Allocation Percentage ]]</f>
        <v>31405.497992753189</v>
      </c>
      <c r="R90" s="61">
        <f>$F$6*Table5[[#This Row],[Locality''s Allocation Percentage ]]</f>
        <v>11364.157459640988</v>
      </c>
      <c r="S90" s="61">
        <f t="shared" si="10"/>
        <v>2841.0393649102471</v>
      </c>
      <c r="T90" s="76">
        <f>($C$7+$D$7+$E$7)*Table5[[#This Row],[Locality''s Allocation Percentage ]]</f>
        <v>5213.7132529740702</v>
      </c>
      <c r="U90" s="76">
        <f>$F$7*Table5[[#This Row],[Locality''s Allocation Percentage ]]</f>
        <v>1911.6948594238258</v>
      </c>
      <c r="V90" s="76">
        <f t="shared" si="11"/>
        <v>477.92371485595646</v>
      </c>
    </row>
    <row r="91" spans="7:22" s="19" customFormat="1" ht="18" customHeight="1" x14ac:dyDescent="0.25">
      <c r="J91" s="36" t="s">
        <v>285</v>
      </c>
      <c r="K91" s="37">
        <v>1.2900129001290001E-3</v>
      </c>
      <c r="M91" s="22" t="s">
        <v>156</v>
      </c>
      <c r="N91" s="61">
        <f>($C$5+$D$5+$E$5)*Table5[[#This Row],[Locality''s Allocation Percentage ]]</f>
        <v>5245.5913039882935</v>
      </c>
      <c r="O91" s="61">
        <f>$F$5*Table5[[#This Row],[Locality''s Allocation Percentage ]]</f>
        <v>0</v>
      </c>
      <c r="P91" s="61">
        <f t="shared" si="9"/>
        <v>0</v>
      </c>
      <c r="Q91" s="61">
        <f>($C$6+$D$6+$E$6)*Table5[[#This Row],[Locality''s Allocation Percentage ]]</f>
        <v>33207.452795616075</v>
      </c>
      <c r="R91" s="61">
        <f>$F$6*Table5[[#This Row],[Locality''s Allocation Percentage ]]</f>
        <v>12016.199281095798</v>
      </c>
      <c r="S91" s="61">
        <f t="shared" si="10"/>
        <v>3004.0498202739495</v>
      </c>
      <c r="T91" s="76">
        <f>($C$7+$D$7+$E$7)*Table5[[#This Row],[Locality''s Allocation Percentage ]]</f>
        <v>5512.8607347020907</v>
      </c>
      <c r="U91" s="76">
        <f>$F$7*Table5[[#This Row],[Locality''s Allocation Percentage ]]</f>
        <v>2021.3822693907666</v>
      </c>
      <c r="V91" s="76">
        <f t="shared" si="11"/>
        <v>505.34556734769166</v>
      </c>
    </row>
    <row r="92" spans="7:22" s="19" customFormat="1" ht="18" customHeight="1" x14ac:dyDescent="0.25">
      <c r="J92" s="36" t="s">
        <v>157</v>
      </c>
      <c r="K92" s="37">
        <v>1.10001100011E-3</v>
      </c>
      <c r="M92" s="22" t="s">
        <v>157</v>
      </c>
      <c r="N92" s="61">
        <f>($C$5+$D$5+$E$5)*Table5[[#This Row],[Locality''s Allocation Percentage ]]</f>
        <v>4472.9848328582348</v>
      </c>
      <c r="O92" s="61">
        <f>$F$5*Table5[[#This Row],[Locality''s Allocation Percentage ]]</f>
        <v>0</v>
      </c>
      <c r="P92" s="61">
        <f t="shared" si="9"/>
        <v>0</v>
      </c>
      <c r="Q92" s="61">
        <f>($C$6+$D$6+$E$6)*Table5[[#This Row],[Locality''s Allocation Percentage ]]</f>
        <v>28316.432616416809</v>
      </c>
      <c r="R92" s="61">
        <f>$F$6*Table5[[#This Row],[Locality''s Allocation Percentage ]]</f>
        <v>10246.371480004169</v>
      </c>
      <c r="S92" s="61">
        <f t="shared" si="10"/>
        <v>2561.5928700010422</v>
      </c>
      <c r="T92" s="76">
        <f>($C$7+$D$7+$E$7)*Table5[[#This Row],[Locality''s Allocation Percentage ]]</f>
        <v>4700.8889985831784</v>
      </c>
      <c r="U92" s="76">
        <f>$F$7*Table5[[#This Row],[Locality''s Allocation Percentage ]]</f>
        <v>1723.6592994804987</v>
      </c>
      <c r="V92" s="76">
        <f t="shared" si="11"/>
        <v>430.91482487012468</v>
      </c>
    </row>
    <row r="93" spans="7:22" s="19" customFormat="1" ht="18" customHeight="1" x14ac:dyDescent="0.25">
      <c r="J93" s="36" t="s">
        <v>286</v>
      </c>
      <c r="K93" s="37">
        <v>1.3300133001329999E-3</v>
      </c>
      <c r="M93" s="22" t="s">
        <v>158</v>
      </c>
      <c r="N93" s="61">
        <f>($C$5+$D$5+$E$5)*Table5[[#This Row],[Locality''s Allocation Percentage ]]</f>
        <v>5408.245297910411</v>
      </c>
      <c r="O93" s="61">
        <f>$F$5*Table5[[#This Row],[Locality''s Allocation Percentage ]]</f>
        <v>0</v>
      </c>
      <c r="P93" s="61">
        <f t="shared" si="9"/>
        <v>0</v>
      </c>
      <c r="Q93" s="61">
        <f>($C$6+$D$6+$E$6)*Table5[[#This Row],[Locality''s Allocation Percentage ]]</f>
        <v>34237.141254394868</v>
      </c>
      <c r="R93" s="61">
        <f>$F$6*Table5[[#This Row],[Locality''s Allocation Percentage ]]</f>
        <v>12388.794607641403</v>
      </c>
      <c r="S93" s="61">
        <f t="shared" si="10"/>
        <v>3097.1986519103507</v>
      </c>
      <c r="T93" s="76">
        <f>($C$7+$D$7+$E$7)*Table5[[#This Row],[Locality''s Allocation Percentage ]]</f>
        <v>5683.8021528323879</v>
      </c>
      <c r="U93" s="76">
        <f>$F$7*Table5[[#This Row],[Locality''s Allocation Percentage ]]</f>
        <v>2084.0607893718752</v>
      </c>
      <c r="V93" s="76">
        <f t="shared" si="11"/>
        <v>521.0151973429688</v>
      </c>
    </row>
    <row r="94" spans="7:22" s="19" customFormat="1" ht="18" customHeight="1" x14ac:dyDescent="0.25">
      <c r="J94" s="36" t="s">
        <v>287</v>
      </c>
      <c r="K94" s="37">
        <v>6.3800638006380099E-3</v>
      </c>
      <c r="M94" s="22" t="s">
        <v>159</v>
      </c>
      <c r="N94" s="61">
        <f>($C$5+$D$5+$E$5)*Table5[[#This Row],[Locality''s Allocation Percentage ]]</f>
        <v>25943.312030577803</v>
      </c>
      <c r="O94" s="61">
        <f>$F$5*Table5[[#This Row],[Locality''s Allocation Percentage ]]</f>
        <v>0</v>
      </c>
      <c r="P94" s="61">
        <f t="shared" si="9"/>
        <v>0</v>
      </c>
      <c r="Q94" s="61">
        <f>($C$6+$D$6+$E$6)*Table5[[#This Row],[Locality''s Allocation Percentage ]]</f>
        <v>164235.30917521773</v>
      </c>
      <c r="R94" s="61">
        <f>$F$6*Table5[[#This Row],[Locality''s Allocation Percentage ]]</f>
        <v>59428.954584024272</v>
      </c>
      <c r="S94" s="61">
        <f t="shared" si="10"/>
        <v>14857.238646006068</v>
      </c>
      <c r="T94" s="76">
        <f>($C$7+$D$7+$E$7)*Table5[[#This Row],[Locality''s Allocation Percentage ]]</f>
        <v>27265.156191782477</v>
      </c>
      <c r="U94" s="76">
        <f>$F$7*Table5[[#This Row],[Locality''s Allocation Percentage ]]</f>
        <v>9997.2239369869076</v>
      </c>
      <c r="V94" s="76">
        <f t="shared" si="11"/>
        <v>2499.3059842467269</v>
      </c>
    </row>
    <row r="95" spans="7:22" s="19" customFormat="1" ht="18" customHeight="1" x14ac:dyDescent="0.25">
      <c r="J95" s="36" t="s">
        <v>288</v>
      </c>
      <c r="K95" s="37">
        <v>4.1000410004099997E-3</v>
      </c>
      <c r="M95" s="22" t="s">
        <v>160</v>
      </c>
      <c r="N95" s="61">
        <f>($C$5+$D$5+$E$5)*Table5[[#This Row],[Locality''s Allocation Percentage ]]</f>
        <v>16672.034377017055</v>
      </c>
      <c r="O95" s="61">
        <f>$F$5*Table5[[#This Row],[Locality''s Allocation Percentage ]]</f>
        <v>0</v>
      </c>
      <c r="P95" s="61">
        <f t="shared" si="9"/>
        <v>0</v>
      </c>
      <c r="Q95" s="61">
        <f>($C$6+$D$6+$E$6)*Table5[[#This Row],[Locality''s Allocation Percentage ]]</f>
        <v>105543.06702482628</v>
      </c>
      <c r="R95" s="61">
        <f>$F$6*Table5[[#This Row],[Locality''s Allocation Percentage ]]</f>
        <v>38191.020970924626</v>
      </c>
      <c r="S95" s="61">
        <f t="shared" si="10"/>
        <v>9547.7552427311566</v>
      </c>
      <c r="T95" s="76">
        <f>($C$7+$D$7+$E$7)*Table5[[#This Row],[Locality''s Allocation Percentage ]]</f>
        <v>17521.495358355482</v>
      </c>
      <c r="U95" s="76">
        <f>$F$7*Table5[[#This Row],[Locality''s Allocation Percentage ]]</f>
        <v>6424.5482980636762</v>
      </c>
      <c r="V95" s="76">
        <f t="shared" si="11"/>
        <v>1606.137074515919</v>
      </c>
    </row>
    <row r="96" spans="7:22" s="19" customFormat="1" ht="18" customHeight="1" x14ac:dyDescent="0.25">
      <c r="J96" s="36" t="s">
        <v>289</v>
      </c>
      <c r="K96" s="37">
        <v>3.2900329003290002E-3</v>
      </c>
      <c r="M96" s="22" t="s">
        <v>161</v>
      </c>
      <c r="N96" s="61">
        <f>($C$5+$D$5+$E$5)*Table5[[#This Row],[Locality''s Allocation Percentage ]]</f>
        <v>13378.291000094176</v>
      </c>
      <c r="O96" s="61">
        <f>$F$5*Table5[[#This Row],[Locality''s Allocation Percentage ]]</f>
        <v>0</v>
      </c>
      <c r="P96" s="61">
        <f t="shared" si="9"/>
        <v>0</v>
      </c>
      <c r="Q96" s="61">
        <f>($C$6+$D$6+$E$6)*Table5[[#This Row],[Locality''s Allocation Percentage ]]</f>
        <v>84691.875734555724</v>
      </c>
      <c r="R96" s="61">
        <f>$F$6*Table5[[#This Row],[Locality''s Allocation Percentage ]]</f>
        <v>30645.965608376107</v>
      </c>
      <c r="S96" s="61">
        <f t="shared" si="10"/>
        <v>7661.4914020940269</v>
      </c>
      <c r="T96" s="76">
        <f>($C$7+$D$7+$E$7)*Table5[[#This Row],[Locality''s Allocation Percentage ]]</f>
        <v>14059.931641216961</v>
      </c>
      <c r="U96" s="76">
        <f>$F$7*Table5[[#This Row],[Locality''s Allocation Percentage ]]</f>
        <v>5155.3082684462188</v>
      </c>
      <c r="V96" s="76">
        <f t="shared" si="11"/>
        <v>1288.8270671115547</v>
      </c>
    </row>
    <row r="97" spans="10:22" s="19" customFormat="1" ht="18" customHeight="1" x14ac:dyDescent="0.25">
      <c r="J97" s="36" t="s">
        <v>162</v>
      </c>
      <c r="K97" s="37">
        <v>3.9500395003950004E-3</v>
      </c>
      <c r="M97" s="22" t="s">
        <v>162</v>
      </c>
      <c r="N97" s="61">
        <f>($C$5+$D$5+$E$5)*Table5[[#This Row],[Locality''s Allocation Percentage ]]</f>
        <v>16062.081899809118</v>
      </c>
      <c r="O97" s="61">
        <f>$F$5*Table5[[#This Row],[Locality''s Allocation Percentage ]]</f>
        <v>0</v>
      </c>
      <c r="P97" s="61">
        <f t="shared" si="9"/>
        <v>0</v>
      </c>
      <c r="Q97" s="61">
        <f>($C$6+$D$6+$E$6)*Table5[[#This Row],[Locality''s Allocation Percentage ]]</f>
        <v>101681.73530440583</v>
      </c>
      <c r="R97" s="61">
        <f>$F$6*Table5[[#This Row],[Locality''s Allocation Percentage ]]</f>
        <v>36793.788496378613</v>
      </c>
      <c r="S97" s="61">
        <f t="shared" si="10"/>
        <v>9198.4471240946532</v>
      </c>
      <c r="T97" s="76">
        <f>($C$7+$D$7+$E$7)*Table5[[#This Row],[Locality''s Allocation Percentage ]]</f>
        <v>16880.465040366867</v>
      </c>
      <c r="U97" s="76">
        <f>$F$7*Table5[[#This Row],[Locality''s Allocation Percentage ]]</f>
        <v>6189.5038481345182</v>
      </c>
      <c r="V97" s="76">
        <f t="shared" si="11"/>
        <v>1547.3759620336295</v>
      </c>
    </row>
    <row r="98" spans="10:22" s="19" customFormat="1" ht="18" customHeight="1" x14ac:dyDescent="0.25">
      <c r="J98" s="36" t="s">
        <v>290</v>
      </c>
      <c r="K98" s="37">
        <v>7.5000750007500096E-3</v>
      </c>
      <c r="M98" s="22" t="s">
        <v>163</v>
      </c>
      <c r="N98" s="61">
        <f>($C$5+$D$5+$E$5)*Table5[[#This Row],[Locality''s Allocation Percentage ]]</f>
        <v>30497.623860397092</v>
      </c>
      <c r="O98" s="61">
        <f>$F$5*Table5[[#This Row],[Locality''s Allocation Percentage ]]</f>
        <v>0</v>
      </c>
      <c r="P98" s="61">
        <f t="shared" si="9"/>
        <v>0</v>
      </c>
      <c r="Q98" s="61">
        <f>($C$6+$D$6+$E$6)*Table5[[#This Row],[Locality''s Allocation Percentage ]]</f>
        <v>193066.58602102395</v>
      </c>
      <c r="R98" s="61">
        <f>$F$6*Table5[[#This Row],[Locality''s Allocation Percentage ]]</f>
        <v>69861.623727301238</v>
      </c>
      <c r="S98" s="61">
        <f t="shared" si="10"/>
        <v>17465.405931825309</v>
      </c>
      <c r="T98" s="76">
        <f>($C$7+$D$7+$E$7)*Table5[[#This Row],[Locality''s Allocation Percentage ]]</f>
        <v>32051.5158994308</v>
      </c>
      <c r="U98" s="76">
        <f>$F$7*Table5[[#This Row],[Locality''s Allocation Percentage ]]</f>
        <v>11752.22249645796</v>
      </c>
      <c r="V98" s="76">
        <f t="shared" si="11"/>
        <v>2938.05562411449</v>
      </c>
    </row>
    <row r="99" spans="10:22" s="19" customFormat="1" ht="18" customHeight="1" x14ac:dyDescent="0.25">
      <c r="J99" s="36" t="s">
        <v>164</v>
      </c>
      <c r="K99" s="37">
        <v>1.860018600186E-3</v>
      </c>
      <c r="M99" s="22" t="s">
        <v>164</v>
      </c>
      <c r="N99" s="61">
        <f>($C$5+$D$5+$E$5)*Table5[[#This Row],[Locality''s Allocation Percentage ]]</f>
        <v>7563.4107173784696</v>
      </c>
      <c r="O99" s="61">
        <f>$F$5*Table5[[#This Row],[Locality''s Allocation Percentage ]]</f>
        <v>0</v>
      </c>
      <c r="P99" s="61">
        <f t="shared" si="9"/>
        <v>0</v>
      </c>
      <c r="Q99" s="61">
        <f>($C$6+$D$6+$E$6)*Table5[[#This Row],[Locality''s Allocation Percentage ]]</f>
        <v>47880.513333213879</v>
      </c>
      <c r="R99" s="61">
        <f>$F$6*Table5[[#This Row],[Locality''s Allocation Percentage ]]</f>
        <v>17325.682684370684</v>
      </c>
      <c r="S99" s="61">
        <f t="shared" si="10"/>
        <v>4331.420671092671</v>
      </c>
      <c r="T99" s="76">
        <f>($C$7+$D$7+$E$7)*Table5[[#This Row],[Locality''s Allocation Percentage ]]</f>
        <v>7948.7759430588285</v>
      </c>
      <c r="U99" s="76">
        <f>$F$7*Table5[[#This Row],[Locality''s Allocation Percentage ]]</f>
        <v>2914.5511791215704</v>
      </c>
      <c r="V99" s="76">
        <f t="shared" si="11"/>
        <v>728.6377947803926</v>
      </c>
    </row>
    <row r="100" spans="10:22" s="19" customFormat="1" ht="18" customHeight="1" x14ac:dyDescent="0.25">
      <c r="J100" s="36" t="s">
        <v>165</v>
      </c>
      <c r="K100" s="37">
        <v>1.9370193701936999E-2</v>
      </c>
      <c r="M100" s="22" t="s">
        <v>165</v>
      </c>
      <c r="N100" s="61">
        <f>($C$5+$D$5+$E$5)*Table5[[#This Row],[Locality''s Allocation Percentage ]]</f>
        <v>78765.19655678545</v>
      </c>
      <c r="O100" s="61">
        <f>$F$5*Table5[[#This Row],[Locality''s Allocation Percentage ]]</f>
        <v>0</v>
      </c>
      <c r="P100" s="61">
        <f t="shared" si="9"/>
        <v>0</v>
      </c>
      <c r="Q100" s="61">
        <f>($C$6+$D$6+$E$6)*Table5[[#This Row],[Locality''s Allocation Percentage ]]</f>
        <v>498626.63616363046</v>
      </c>
      <c r="R100" s="61">
        <f>$F$6*Table5[[#This Row],[Locality''s Allocation Percentage ]]</f>
        <v>180429.28687970975</v>
      </c>
      <c r="S100" s="61">
        <f t="shared" si="10"/>
        <v>45107.321719927437</v>
      </c>
      <c r="T100" s="76">
        <f>($C$7+$D$7+$E$7)*Table5[[#This Row],[Locality''s Allocation Percentage ]]</f>
        <v>82778.381729596498</v>
      </c>
      <c r="U100" s="76">
        <f>$F$7*Table5[[#This Row],[Locality''s Allocation Percentage ]]</f>
        <v>30352.073300852051</v>
      </c>
      <c r="V100" s="76">
        <f t="shared" si="11"/>
        <v>7588.0183252130128</v>
      </c>
    </row>
    <row r="101" spans="10:22" s="19" customFormat="1" ht="18" customHeight="1" x14ac:dyDescent="0.25">
      <c r="J101" s="36" t="s">
        <v>291</v>
      </c>
      <c r="K101" s="37">
        <v>2.6200262002619998E-3</v>
      </c>
      <c r="M101" s="22" t="s">
        <v>166</v>
      </c>
      <c r="N101" s="61">
        <f>($C$5+$D$5+$E$5)*Table5[[#This Row],[Locality''s Allocation Percentage ]]</f>
        <v>10653.836601898704</v>
      </c>
      <c r="O101" s="61">
        <f>$F$5*Table5[[#This Row],[Locality''s Allocation Percentage ]]</f>
        <v>0</v>
      </c>
      <c r="P101" s="61">
        <f t="shared" si="9"/>
        <v>0</v>
      </c>
      <c r="Q101" s="61">
        <f>($C$6+$D$6+$E$6)*Table5[[#This Row],[Locality''s Allocation Percentage ]]</f>
        <v>67444.594050010943</v>
      </c>
      <c r="R101" s="61">
        <f>$F$6*Table5[[#This Row],[Locality''s Allocation Percentage ]]</f>
        <v>24404.993888737201</v>
      </c>
      <c r="S101" s="61">
        <f t="shared" si="10"/>
        <v>6101.2484721843002</v>
      </c>
      <c r="T101" s="76">
        <f>($C$7+$D$7+$E$7)*Table5[[#This Row],[Locality''s Allocation Percentage ]]</f>
        <v>11196.662887534478</v>
      </c>
      <c r="U101" s="76">
        <f>$F$7*Table5[[#This Row],[Locality''s Allocation Percentage ]]</f>
        <v>4105.4430587626421</v>
      </c>
      <c r="V101" s="76">
        <f t="shared" si="11"/>
        <v>1026.3607646906605</v>
      </c>
    </row>
    <row r="102" spans="10:22" s="19" customFormat="1" ht="18" customHeight="1" x14ac:dyDescent="0.25">
      <c r="J102" s="36" t="s">
        <v>292</v>
      </c>
      <c r="K102" s="37">
        <v>1.9000190001899999E-3</v>
      </c>
      <c r="M102" s="22" t="s">
        <v>167</v>
      </c>
      <c r="N102" s="61">
        <f>($C$5+$D$5+$E$5)*Table5[[#This Row],[Locality''s Allocation Percentage ]]</f>
        <v>7726.0647113005871</v>
      </c>
      <c r="O102" s="61">
        <f>$F$5*Table5[[#This Row],[Locality''s Allocation Percentage ]]</f>
        <v>0</v>
      </c>
      <c r="P102" s="61">
        <f t="shared" si="9"/>
        <v>0</v>
      </c>
      <c r="Q102" s="61">
        <f>($C$6+$D$6+$E$6)*Table5[[#This Row],[Locality''s Allocation Percentage ]]</f>
        <v>48910.201791992666</v>
      </c>
      <c r="R102" s="61">
        <f>$F$6*Table5[[#This Row],[Locality''s Allocation Percentage ]]</f>
        <v>17698.278010916289</v>
      </c>
      <c r="S102" s="61">
        <f t="shared" si="10"/>
        <v>4424.5695027290722</v>
      </c>
      <c r="T102" s="76">
        <f>($C$7+$D$7+$E$7)*Table5[[#This Row],[Locality''s Allocation Percentage ]]</f>
        <v>8119.7173611891249</v>
      </c>
      <c r="U102" s="76">
        <f>$F$7*Table5[[#This Row],[Locality''s Allocation Percentage ]]</f>
        <v>2977.2296991026792</v>
      </c>
      <c r="V102" s="76">
        <f t="shared" si="11"/>
        <v>744.3074247756698</v>
      </c>
    </row>
    <row r="103" spans="10:22" s="19" customFormat="1" ht="18" customHeight="1" x14ac:dyDescent="0.25">
      <c r="J103" s="36" t="s">
        <v>293</v>
      </c>
      <c r="K103" s="37">
        <v>3.510035100351E-3</v>
      </c>
      <c r="M103" s="22" t="s">
        <v>168</v>
      </c>
      <c r="N103" s="61">
        <f>($C$5+$D$5+$E$5)*Table5[[#This Row],[Locality''s Allocation Percentage ]]</f>
        <v>14272.887966665821</v>
      </c>
      <c r="O103" s="61">
        <f>$F$5*Table5[[#This Row],[Locality''s Allocation Percentage ]]</f>
        <v>0</v>
      </c>
      <c r="P103" s="61">
        <f t="shared" si="9"/>
        <v>0</v>
      </c>
      <c r="Q103" s="61">
        <f>($C$6+$D$6+$E$6)*Table5[[#This Row],[Locality''s Allocation Percentage ]]</f>
        <v>90355.162257839082</v>
      </c>
      <c r="R103" s="61">
        <f>$F$6*Table5[[#This Row],[Locality''s Allocation Percentage ]]</f>
        <v>32695.239904376936</v>
      </c>
      <c r="S103" s="61">
        <f t="shared" si="10"/>
        <v>8173.8099760942341</v>
      </c>
      <c r="T103" s="76">
        <f>($C$7+$D$7+$E$7)*Table5[[#This Row],[Locality''s Allocation Percentage ]]</f>
        <v>15000.109440933595</v>
      </c>
      <c r="U103" s="76">
        <f>$F$7*Table5[[#This Row],[Locality''s Allocation Percentage ]]</f>
        <v>5500.040128342318</v>
      </c>
      <c r="V103" s="76">
        <f t="shared" si="11"/>
        <v>1375.0100320855795</v>
      </c>
    </row>
    <row r="104" spans="10:22" s="19" customFormat="1" ht="18" customHeight="1" x14ac:dyDescent="0.25">
      <c r="J104" s="36" t="s">
        <v>294</v>
      </c>
      <c r="K104" s="37">
        <v>3.5560355603555999E-2</v>
      </c>
      <c r="M104" s="22" t="s">
        <v>169</v>
      </c>
      <c r="N104" s="61">
        <f>($C$5+$D$5+$E$5)*Table5[[#This Row],[Locality''s Allocation Percentage ]]</f>
        <v>144599.40059676257</v>
      </c>
      <c r="O104" s="61">
        <f>$F$5*Table5[[#This Row],[Locality''s Allocation Percentage ]]</f>
        <v>0</v>
      </c>
      <c r="P104" s="61">
        <f t="shared" si="9"/>
        <v>0</v>
      </c>
      <c r="Q104" s="61">
        <f>($C$6+$D$6+$E$6)*Table5[[#This Row],[Locality''s Allocation Percentage ]]</f>
        <v>915393.03985434701</v>
      </c>
      <c r="R104" s="61">
        <f>$F$6*Table5[[#This Row],[Locality''s Allocation Percentage ]]</f>
        <v>331237.24529904383</v>
      </c>
      <c r="S104" s="61">
        <f t="shared" si="10"/>
        <v>82809.311324760958</v>
      </c>
      <c r="T104" s="76">
        <f>($C$7+$D$7+$E$7)*Table5[[#This Row],[Locality''s Allocation Percentage ]]</f>
        <v>151966.92071783438</v>
      </c>
      <c r="U104" s="76">
        <f>$F$7*Table5[[#This Row],[Locality''s Allocation Percentage ]]</f>
        <v>55721.204263205931</v>
      </c>
      <c r="V104" s="76">
        <f t="shared" si="11"/>
        <v>13930.301065801483</v>
      </c>
    </row>
    <row r="105" spans="10:22" s="19" customFormat="1" ht="18" customHeight="1" x14ac:dyDescent="0.25">
      <c r="J105" s="36" t="s">
        <v>295</v>
      </c>
      <c r="K105" s="37">
        <v>1.0610106101060999E-2</v>
      </c>
      <c r="M105" s="22" t="s">
        <v>170</v>
      </c>
      <c r="N105" s="61">
        <f>($C$5+$D$5+$E$5)*Table5[[#This Row],[Locality''s Allocation Percentage ]]</f>
        <v>43143.971887841697</v>
      </c>
      <c r="O105" s="61">
        <f>$F$5*Table5[[#This Row],[Locality''s Allocation Percentage ]]</f>
        <v>0</v>
      </c>
      <c r="P105" s="61">
        <f t="shared" si="9"/>
        <v>0</v>
      </c>
      <c r="Q105" s="61">
        <f>($C$6+$D$6+$E$6)*Table5[[#This Row],[Locality''s Allocation Percentage ]]</f>
        <v>273124.86369107483</v>
      </c>
      <c r="R105" s="61">
        <f>$F$6*Table5[[#This Row],[Locality''s Allocation Percentage ]]</f>
        <v>98830.910366222015</v>
      </c>
      <c r="S105" s="61">
        <f t="shared" si="10"/>
        <v>24707.727591555504</v>
      </c>
      <c r="T105" s="76">
        <f>($C$7+$D$7+$E$7)*Table5[[#This Row],[Locality''s Allocation Percentage ]]</f>
        <v>45342.211159061379</v>
      </c>
      <c r="U105" s="76">
        <f>$F$7*Table5[[#This Row],[Locality''s Allocation Percentage ]]</f>
        <v>16625.477424989171</v>
      </c>
      <c r="V105" s="76">
        <f t="shared" si="11"/>
        <v>4156.3693562472927</v>
      </c>
    </row>
    <row r="106" spans="10:22" s="19" customFormat="1" ht="18" customHeight="1" x14ac:dyDescent="0.25">
      <c r="J106" s="36" t="s">
        <v>171</v>
      </c>
      <c r="K106" s="37">
        <v>2.4700247002470001E-3</v>
      </c>
      <c r="M106" s="22" t="s">
        <v>171</v>
      </c>
      <c r="N106" s="61">
        <f>($C$5+$D$5+$E$5)*Table5[[#This Row],[Locality''s Allocation Percentage ]]</f>
        <v>10043.884124690763</v>
      </c>
      <c r="O106" s="61">
        <f>$F$5*Table5[[#This Row],[Locality''s Allocation Percentage ]]</f>
        <v>0</v>
      </c>
      <c r="P106" s="61">
        <f t="shared" si="9"/>
        <v>0</v>
      </c>
      <c r="Q106" s="61">
        <f>($C$6+$D$6+$E$6)*Table5[[#This Row],[Locality''s Allocation Percentage ]]</f>
        <v>63583.26232959047</v>
      </c>
      <c r="R106" s="61">
        <f>$F$6*Table5[[#This Row],[Locality''s Allocation Percentage ]]</f>
        <v>23007.76141419118</v>
      </c>
      <c r="S106" s="61">
        <f t="shared" si="10"/>
        <v>5751.940353547795</v>
      </c>
      <c r="T106" s="76">
        <f>($C$7+$D$7+$E$7)*Table5[[#This Row],[Locality''s Allocation Percentage ]]</f>
        <v>10555.632569545864</v>
      </c>
      <c r="U106" s="76">
        <f>$F$7*Table5[[#This Row],[Locality''s Allocation Percentage ]]</f>
        <v>3870.3986088334832</v>
      </c>
      <c r="V106" s="76">
        <f t="shared" si="11"/>
        <v>967.5996522083708</v>
      </c>
    </row>
    <row r="107" spans="10:22" s="19" customFormat="1" ht="18" customHeight="1" x14ac:dyDescent="0.25">
      <c r="J107" s="36" t="s">
        <v>296</v>
      </c>
      <c r="K107" s="37">
        <v>9.1000910009099998E-4</v>
      </c>
      <c r="M107" s="22" t="s">
        <v>172</v>
      </c>
      <c r="N107" s="61">
        <f>($C$5+$D$5+$E$5)*Table5[[#This Row],[Locality''s Allocation Percentage ]]</f>
        <v>3700.3783617281761</v>
      </c>
      <c r="O107" s="61">
        <f>$F$5*Table5[[#This Row],[Locality''s Allocation Percentage ]]</f>
        <v>0</v>
      </c>
      <c r="P107" s="61">
        <f t="shared" si="9"/>
        <v>0</v>
      </c>
      <c r="Q107" s="61">
        <f>($C$6+$D$6+$E$6)*Table5[[#This Row],[Locality''s Allocation Percentage ]]</f>
        <v>23425.412437217539</v>
      </c>
      <c r="R107" s="61">
        <f>$F$6*Table5[[#This Row],[Locality''s Allocation Percentage ]]</f>
        <v>8476.5436789125397</v>
      </c>
      <c r="S107" s="61">
        <f t="shared" si="10"/>
        <v>2119.1359197281349</v>
      </c>
      <c r="T107" s="76">
        <f>($C$7+$D$7+$E$7)*Table5[[#This Row],[Locality''s Allocation Percentage ]]</f>
        <v>3888.9172624642651</v>
      </c>
      <c r="U107" s="76">
        <f>$F$7*Table5[[#This Row],[Locality''s Allocation Percentage ]]</f>
        <v>1425.9363295702306</v>
      </c>
      <c r="V107" s="76">
        <f t="shared" si="11"/>
        <v>356.48408239255764</v>
      </c>
    </row>
    <row r="108" spans="10:22" s="19" customFormat="1" ht="18" customHeight="1" x14ac:dyDescent="0.25">
      <c r="J108" s="36" t="s">
        <v>297</v>
      </c>
      <c r="K108" s="37">
        <v>8.4000840008400005E-4</v>
      </c>
      <c r="M108" s="22" t="s">
        <v>173</v>
      </c>
      <c r="N108" s="61">
        <f>($C$5+$D$5+$E$5)*Table5[[#This Row],[Locality''s Allocation Percentage ]]</f>
        <v>3415.7338723644702</v>
      </c>
      <c r="O108" s="61">
        <f>$F$5*Table5[[#This Row],[Locality''s Allocation Percentage ]]</f>
        <v>0</v>
      </c>
      <c r="P108" s="61">
        <f t="shared" si="9"/>
        <v>0</v>
      </c>
      <c r="Q108" s="61">
        <f>($C$6+$D$6+$E$6)*Table5[[#This Row],[Locality''s Allocation Percentage ]]</f>
        <v>21623.457634354654</v>
      </c>
      <c r="R108" s="61">
        <f>$F$6*Table5[[#This Row],[Locality''s Allocation Percentage ]]</f>
        <v>7824.5018574577289</v>
      </c>
      <c r="S108" s="61">
        <f t="shared" si="10"/>
        <v>1956.1254643644322</v>
      </c>
      <c r="T108" s="76">
        <f>($C$7+$D$7+$E$7)*Table5[[#This Row],[Locality''s Allocation Percentage ]]</f>
        <v>3589.7697807362451</v>
      </c>
      <c r="U108" s="76">
        <f>$F$7*Table5[[#This Row],[Locality''s Allocation Percentage ]]</f>
        <v>1316.2489196032898</v>
      </c>
      <c r="V108" s="76">
        <f t="shared" si="11"/>
        <v>329.06222990082244</v>
      </c>
    </row>
    <row r="109" spans="10:22" s="19" customFormat="1" ht="18" customHeight="1" x14ac:dyDescent="0.25">
      <c r="J109" s="36" t="s">
        <v>174</v>
      </c>
      <c r="K109" s="37">
        <v>4.2250422504224998E-2</v>
      </c>
      <c r="M109" s="22" t="s">
        <v>174</v>
      </c>
      <c r="N109" s="61">
        <f>($C$5+$D$5+$E$5)*Table5[[#This Row],[Locality''s Allocation Percentage ]]</f>
        <v>171803.28108023675</v>
      </c>
      <c r="O109" s="61">
        <f>$F$5*Table5[[#This Row],[Locality''s Allocation Percentage ]]</f>
        <v>0</v>
      </c>
      <c r="P109" s="61">
        <f t="shared" si="9"/>
        <v>0</v>
      </c>
      <c r="Q109" s="61">
        <f>($C$6+$D$6+$E$6)*Table5[[#This Row],[Locality''s Allocation Percentage ]]</f>
        <v>1087608.4345851</v>
      </c>
      <c r="R109" s="61">
        <f>$F$6*Table5[[#This Row],[Locality''s Allocation Percentage ]]</f>
        <v>393553.81366379646</v>
      </c>
      <c r="S109" s="61">
        <f t="shared" si="10"/>
        <v>98388.453415949116</v>
      </c>
      <c r="T109" s="76">
        <f>($C$7+$D$7+$E$7)*Table5[[#This Row],[Locality''s Allocation Percentage ]]</f>
        <v>180556.87290012659</v>
      </c>
      <c r="U109" s="76">
        <f>$F$7*Table5[[#This Row],[Locality''s Allocation Percentage ]]</f>
        <v>66204.186730046422</v>
      </c>
      <c r="V109" s="76">
        <f t="shared" si="11"/>
        <v>16551.046682511605</v>
      </c>
    </row>
    <row r="110" spans="10:22" s="19" customFormat="1" ht="18" customHeight="1" x14ac:dyDescent="0.25">
      <c r="J110" s="36" t="s">
        <v>298</v>
      </c>
      <c r="K110" s="37">
        <v>1.4980149801498E-2</v>
      </c>
      <c r="M110" s="22" t="s">
        <v>175</v>
      </c>
      <c r="N110" s="61">
        <f>($C$5+$D$5+$E$5)*Table5[[#This Row],[Locality''s Allocation Percentage ]]</f>
        <v>60913.920723833049</v>
      </c>
      <c r="O110" s="61">
        <f>$F$5*Table5[[#This Row],[Locality''s Allocation Percentage ]]</f>
        <v>0</v>
      </c>
      <c r="P110" s="61">
        <f t="shared" si="9"/>
        <v>0</v>
      </c>
      <c r="Q110" s="61">
        <f>($C$6+$D$6+$E$6)*Table5[[#This Row],[Locality''s Allocation Percentage ]]</f>
        <v>385618.32781265798</v>
      </c>
      <c r="R110" s="61">
        <f>$F$6*Table5[[#This Row],[Locality''s Allocation Percentage ]]</f>
        <v>139536.94979132951</v>
      </c>
      <c r="S110" s="61">
        <f t="shared" si="10"/>
        <v>34884.237447832376</v>
      </c>
      <c r="T110" s="76">
        <f>($C$7+$D$7+$E$7)*Table5[[#This Row],[Locality''s Allocation Percentage ]]</f>
        <v>64017.561089796371</v>
      </c>
      <c r="U110" s="76">
        <f>$F$7*Table5[[#This Row],[Locality''s Allocation Percentage ]]</f>
        <v>23473.105732925334</v>
      </c>
      <c r="V110" s="76">
        <f t="shared" si="11"/>
        <v>5868.2764332313336</v>
      </c>
    </row>
    <row r="111" spans="10:22" s="19" customFormat="1" ht="18" customHeight="1" x14ac:dyDescent="0.25">
      <c r="J111" s="36" t="s">
        <v>175</v>
      </c>
      <c r="K111" s="37">
        <v>1.8590185901858999E-2</v>
      </c>
      <c r="M111" s="22" t="s">
        <v>176</v>
      </c>
      <c r="N111" s="61">
        <f>($C$5+$D$5+$E$5)*Table5[[#This Row],[Locality''s Allocation Percentage ]]</f>
        <v>75593.443675304166</v>
      </c>
      <c r="O111" s="61">
        <f>$F$5*Table5[[#This Row],[Locality''s Allocation Percentage ]]</f>
        <v>0</v>
      </c>
      <c r="P111" s="61">
        <f t="shared" si="9"/>
        <v>0</v>
      </c>
      <c r="Q111" s="61">
        <f>($C$6+$D$6+$E$6)*Table5[[#This Row],[Locality''s Allocation Percentage ]]</f>
        <v>478547.71121744404</v>
      </c>
      <c r="R111" s="61">
        <f>$F$6*Table5[[#This Row],[Locality''s Allocation Percentage ]]</f>
        <v>173163.67801207045</v>
      </c>
      <c r="S111" s="61">
        <f t="shared" si="10"/>
        <v>43290.919503017612</v>
      </c>
      <c r="T111" s="76">
        <f>($C$7+$D$7+$E$7)*Table5[[#This Row],[Locality''s Allocation Percentage ]]</f>
        <v>79445.024076055706</v>
      </c>
      <c r="U111" s="76">
        <f>$F$7*Table5[[#This Row],[Locality''s Allocation Percentage ]]</f>
        <v>29129.842161220426</v>
      </c>
      <c r="V111" s="76">
        <f t="shared" si="11"/>
        <v>7282.4605403051064</v>
      </c>
    </row>
    <row r="112" spans="10:22" s="19" customFormat="1" ht="18" customHeight="1" x14ac:dyDescent="0.25">
      <c r="J112" s="36" t="s">
        <v>299</v>
      </c>
      <c r="K112" s="37">
        <v>2.3500235002349998E-3</v>
      </c>
      <c r="M112" s="22" t="s">
        <v>177</v>
      </c>
      <c r="N112" s="61">
        <f>($C$5+$D$5+$E$5)*Table5[[#This Row],[Locality''s Allocation Percentage ]]</f>
        <v>9555.9221429244099</v>
      </c>
      <c r="O112" s="61">
        <f>$F$5*Table5[[#This Row],[Locality''s Allocation Percentage ]]</f>
        <v>0</v>
      </c>
      <c r="P112" s="61">
        <f t="shared" si="9"/>
        <v>0</v>
      </c>
      <c r="Q112" s="61">
        <f>($C$6+$D$6+$E$6)*Table5[[#This Row],[Locality''s Allocation Percentage ]]</f>
        <v>60494.196953254082</v>
      </c>
      <c r="R112" s="61">
        <f>$F$6*Table5[[#This Row],[Locality''s Allocation Percentage ]]</f>
        <v>21889.975434554359</v>
      </c>
      <c r="S112" s="61">
        <f t="shared" si="10"/>
        <v>5472.4938586385897</v>
      </c>
      <c r="T112" s="76">
        <f>($C$7+$D$7+$E$7)*Table5[[#This Row],[Locality''s Allocation Percentage ]]</f>
        <v>10042.808315154971</v>
      </c>
      <c r="U112" s="76">
        <f>$F$7*Table5[[#This Row],[Locality''s Allocation Percentage ]]</f>
        <v>3682.3630488901558</v>
      </c>
      <c r="V112" s="76">
        <f t="shared" si="11"/>
        <v>920.59076222253896</v>
      </c>
    </row>
    <row r="113" spans="10:22" s="19" customFormat="1" ht="18" customHeight="1" x14ac:dyDescent="0.25">
      <c r="J113" s="36" t="s">
        <v>300</v>
      </c>
      <c r="K113" s="37">
        <v>6.1400614006140103E-3</v>
      </c>
      <c r="M113" s="22" t="s">
        <v>178</v>
      </c>
      <c r="N113" s="61">
        <f>($C$5+$D$5+$E$5)*Table5[[#This Row],[Locality''s Allocation Percentage ]]</f>
        <v>24967.388067045096</v>
      </c>
      <c r="O113" s="61">
        <f>$F$5*Table5[[#This Row],[Locality''s Allocation Percentage ]]</f>
        <v>0</v>
      </c>
      <c r="P113" s="61">
        <f t="shared" si="9"/>
        <v>0</v>
      </c>
      <c r="Q113" s="61">
        <f>($C$6+$D$6+$E$6)*Table5[[#This Row],[Locality''s Allocation Percentage ]]</f>
        <v>158057.178422545</v>
      </c>
      <c r="R113" s="61">
        <f>$F$6*Table5[[#This Row],[Locality''s Allocation Percentage ]]</f>
        <v>57193.382624750637</v>
      </c>
      <c r="S113" s="61">
        <f t="shared" si="10"/>
        <v>14298.345656187659</v>
      </c>
      <c r="T113" s="76">
        <f>($C$7+$D$7+$E$7)*Table5[[#This Row],[Locality''s Allocation Percentage ]]</f>
        <v>26239.507683000691</v>
      </c>
      <c r="U113" s="76">
        <f>$F$7*Table5[[#This Row],[Locality''s Allocation Percentage ]]</f>
        <v>9621.1528171002537</v>
      </c>
      <c r="V113" s="76">
        <f t="shared" si="11"/>
        <v>2405.2882042750634</v>
      </c>
    </row>
    <row r="114" spans="10:22" s="19" customFormat="1" ht="18" customHeight="1" x14ac:dyDescent="0.25">
      <c r="J114" s="36" t="s">
        <v>301</v>
      </c>
      <c r="K114" s="37">
        <v>1.0640106401064E-2</v>
      </c>
      <c r="M114" s="22" t="s">
        <v>179</v>
      </c>
      <c r="N114" s="61">
        <f>($C$5+$D$5+$E$5)*Table5[[#This Row],[Locality''s Allocation Percentage ]]</f>
        <v>43265.962383283288</v>
      </c>
      <c r="O114" s="61">
        <f>$F$5*Table5[[#This Row],[Locality''s Allocation Percentage ]]</f>
        <v>0</v>
      </c>
      <c r="P114" s="61">
        <f t="shared" si="9"/>
        <v>0</v>
      </c>
      <c r="Q114" s="61">
        <f>($C$6+$D$6+$E$6)*Table5[[#This Row],[Locality''s Allocation Percentage ]]</f>
        <v>273897.13003515895</v>
      </c>
      <c r="R114" s="61">
        <f>$F$6*Table5[[#This Row],[Locality''s Allocation Percentage ]]</f>
        <v>99110.356861131222</v>
      </c>
      <c r="S114" s="61">
        <f t="shared" si="10"/>
        <v>24777.589215282806</v>
      </c>
      <c r="T114" s="76">
        <f>($C$7+$D$7+$E$7)*Table5[[#This Row],[Locality''s Allocation Percentage ]]</f>
        <v>45470.417222659104</v>
      </c>
      <c r="U114" s="76">
        <f>$F$7*Table5[[#This Row],[Locality''s Allocation Percentage ]]</f>
        <v>16672.486314975002</v>
      </c>
      <c r="V114" s="76">
        <f t="shared" si="11"/>
        <v>4168.1215787437504</v>
      </c>
    </row>
    <row r="115" spans="10:22" s="19" customFormat="1" ht="18" customHeight="1" x14ac:dyDescent="0.25">
      <c r="J115" s="36" t="s">
        <v>180</v>
      </c>
      <c r="K115" s="37">
        <v>7.8600786007860107E-3</v>
      </c>
      <c r="M115" s="22" t="s">
        <v>180</v>
      </c>
      <c r="N115" s="61">
        <f>($C$5+$D$5+$E$5)*Table5[[#This Row],[Locality''s Allocation Percentage ]]</f>
        <v>31961.509805696158</v>
      </c>
      <c r="O115" s="61">
        <f>$F$5*Table5[[#This Row],[Locality''s Allocation Percentage ]]</f>
        <v>0</v>
      </c>
      <c r="P115" s="61">
        <f t="shared" si="9"/>
        <v>0</v>
      </c>
      <c r="Q115" s="61">
        <f>($C$6+$D$6+$E$6)*Table5[[#This Row],[Locality''s Allocation Percentage ]]</f>
        <v>202333.7821500331</v>
      </c>
      <c r="R115" s="61">
        <f>$F$6*Table5[[#This Row],[Locality''s Allocation Percentage ]]</f>
        <v>73214.981666211708</v>
      </c>
      <c r="S115" s="61">
        <f t="shared" si="10"/>
        <v>18303.745416552927</v>
      </c>
      <c r="T115" s="76">
        <f>($C$7+$D$7+$E$7)*Table5[[#This Row],[Locality''s Allocation Percentage ]]</f>
        <v>33589.988662603479</v>
      </c>
      <c r="U115" s="76">
        <f>$F$7*Table5[[#This Row],[Locality''s Allocation Percentage ]]</f>
        <v>12316.329176287943</v>
      </c>
      <c r="V115" s="76">
        <f t="shared" si="11"/>
        <v>3079.0822940719859</v>
      </c>
    </row>
    <row r="116" spans="10:22" s="19" customFormat="1" ht="18" customHeight="1" x14ac:dyDescent="0.25">
      <c r="J116" s="36" t="s">
        <v>302</v>
      </c>
      <c r="K116" s="37">
        <v>4.2100421004210003E-3</v>
      </c>
      <c r="M116" s="22" t="s">
        <v>181</v>
      </c>
      <c r="N116" s="61">
        <f>($C$5+$D$5+$E$5)*Table5[[#This Row],[Locality''s Allocation Percentage ]]</f>
        <v>17119.332860302882</v>
      </c>
      <c r="O116" s="61">
        <f>$F$5*Table5[[#This Row],[Locality''s Allocation Percentage ]]</f>
        <v>0</v>
      </c>
      <c r="P116" s="61">
        <f t="shared" si="9"/>
        <v>0</v>
      </c>
      <c r="Q116" s="61">
        <f>($C$6+$D$6+$E$6)*Table5[[#This Row],[Locality''s Allocation Percentage ]]</f>
        <v>108374.71028646798</v>
      </c>
      <c r="R116" s="61">
        <f>$F$6*Table5[[#This Row],[Locality''s Allocation Percentage ]]</f>
        <v>39215.65811892505</v>
      </c>
      <c r="S116" s="61">
        <f t="shared" si="10"/>
        <v>9803.9145297312625</v>
      </c>
      <c r="T116" s="76">
        <f>($C$7+$D$7+$E$7)*Table5[[#This Row],[Locality''s Allocation Percentage ]]</f>
        <v>17991.584258213799</v>
      </c>
      <c r="U116" s="76">
        <f>$F$7*Table5[[#This Row],[Locality''s Allocation Percentage ]]</f>
        <v>6596.9142280117267</v>
      </c>
      <c r="V116" s="76">
        <f t="shared" si="11"/>
        <v>1649.2285570029317</v>
      </c>
    </row>
    <row r="117" spans="10:22" s="19" customFormat="1" ht="18" customHeight="1" x14ac:dyDescent="0.25">
      <c r="J117" s="36" t="s">
        <v>303</v>
      </c>
      <c r="K117" s="37">
        <v>6.6000660006600102E-3</v>
      </c>
      <c r="M117" s="22" t="s">
        <v>182</v>
      </c>
      <c r="N117" s="61">
        <f>($C$5+$D$5+$E$5)*Table5[[#This Row],[Locality''s Allocation Percentage ]]</f>
        <v>26837.90899714945</v>
      </c>
      <c r="O117" s="61">
        <f>$F$5*Table5[[#This Row],[Locality''s Allocation Percentage ]]</f>
        <v>0</v>
      </c>
      <c r="P117" s="61">
        <f t="shared" si="9"/>
        <v>0</v>
      </c>
      <c r="Q117" s="61">
        <f>($C$6+$D$6+$E$6)*Table5[[#This Row],[Locality''s Allocation Percentage ]]</f>
        <v>169898.5956985011</v>
      </c>
      <c r="R117" s="61">
        <f>$F$6*Table5[[#This Row],[Locality''s Allocation Percentage ]]</f>
        <v>61478.228880025104</v>
      </c>
      <c r="S117" s="61">
        <f t="shared" si="10"/>
        <v>15369.557220006276</v>
      </c>
      <c r="T117" s="76">
        <f>($C$7+$D$7+$E$7)*Table5[[#This Row],[Locality''s Allocation Percentage ]]</f>
        <v>28205.333991499112</v>
      </c>
      <c r="U117" s="76">
        <f>$F$7*Table5[[#This Row],[Locality''s Allocation Percentage ]]</f>
        <v>10341.955796883007</v>
      </c>
      <c r="V117" s="76">
        <f t="shared" si="11"/>
        <v>2585.4889492207517</v>
      </c>
    </row>
    <row r="118" spans="10:22" s="19" customFormat="1" ht="18" customHeight="1" x14ac:dyDescent="0.25">
      <c r="J118" s="36" t="s">
        <v>304</v>
      </c>
      <c r="K118" s="37">
        <v>5.9200592005920101E-3</v>
      </c>
      <c r="M118" s="22" t="s">
        <v>183</v>
      </c>
      <c r="N118" s="61">
        <f>($C$5+$D$5+$E$5)*Table5[[#This Row],[Locality''s Allocation Percentage ]]</f>
        <v>24072.791100473449</v>
      </c>
      <c r="O118" s="61">
        <f>$F$5*Table5[[#This Row],[Locality''s Allocation Percentage ]]</f>
        <v>0</v>
      </c>
      <c r="P118" s="61">
        <f t="shared" si="9"/>
        <v>0</v>
      </c>
      <c r="Q118" s="61">
        <f>($C$6+$D$6+$E$6)*Table5[[#This Row],[Locality''s Allocation Percentage ]]</f>
        <v>152393.89189926162</v>
      </c>
      <c r="R118" s="61">
        <f>$F$6*Table5[[#This Row],[Locality''s Allocation Percentage ]]</f>
        <v>55144.108328749804</v>
      </c>
      <c r="S118" s="61">
        <f t="shared" si="10"/>
        <v>13786.027082187451</v>
      </c>
      <c r="T118" s="76">
        <f>($C$7+$D$7+$E$7)*Table5[[#This Row],[Locality''s Allocation Percentage ]]</f>
        <v>25299.329883284056</v>
      </c>
      <c r="U118" s="76">
        <f>$F$7*Table5[[#This Row],[Locality''s Allocation Percentage ]]</f>
        <v>9276.4209572041527</v>
      </c>
      <c r="V118" s="76">
        <f t="shared" si="11"/>
        <v>2319.1052393010382</v>
      </c>
    </row>
    <row r="119" spans="10:22" s="19" customFormat="1" ht="18" customHeight="1" x14ac:dyDescent="0.25">
      <c r="J119" s="36" t="s">
        <v>305</v>
      </c>
      <c r="K119" s="37">
        <v>1.370013700137E-3</v>
      </c>
      <c r="M119" s="22" t="s">
        <v>184</v>
      </c>
      <c r="N119" s="61">
        <f>($C$5+$D$5+$E$5)*Table5[[#This Row],[Locality''s Allocation Percentage ]]</f>
        <v>5570.8992918325284</v>
      </c>
      <c r="O119" s="61">
        <f>$F$5*Table5[[#This Row],[Locality''s Allocation Percentage ]]</f>
        <v>0</v>
      </c>
      <c r="P119" s="61">
        <f t="shared" si="9"/>
        <v>0</v>
      </c>
      <c r="Q119" s="61">
        <f>($C$6+$D$6+$E$6)*Table5[[#This Row],[Locality''s Allocation Percentage ]]</f>
        <v>35266.829713173662</v>
      </c>
      <c r="R119" s="61">
        <f>$F$6*Table5[[#This Row],[Locality''s Allocation Percentage ]]</f>
        <v>12761.389934187011</v>
      </c>
      <c r="S119" s="61">
        <f t="shared" si="10"/>
        <v>3190.3474835467528</v>
      </c>
      <c r="T119" s="76">
        <f>($C$7+$D$7+$E$7)*Table5[[#This Row],[Locality''s Allocation Percentage ]]</f>
        <v>5854.7435709626852</v>
      </c>
      <c r="U119" s="76">
        <f>$F$7*Table5[[#This Row],[Locality''s Allocation Percentage ]]</f>
        <v>2146.7393093529845</v>
      </c>
      <c r="V119" s="76">
        <f t="shared" si="11"/>
        <v>536.68482733824612</v>
      </c>
    </row>
    <row r="120" spans="10:22" s="19" customFormat="1" ht="18" customHeight="1" x14ac:dyDescent="0.25">
      <c r="J120" s="36" t="s">
        <v>306</v>
      </c>
      <c r="K120" s="37">
        <v>1.4170141701417E-2</v>
      </c>
      <c r="M120" s="22" t="s">
        <v>185</v>
      </c>
      <c r="N120" s="61">
        <f>($C$5+$D$5+$E$5)*Table5[[#This Row],[Locality''s Allocation Percentage ]]</f>
        <v>57620.177346910168</v>
      </c>
      <c r="O120" s="61">
        <f>$F$5*Table5[[#This Row],[Locality''s Allocation Percentage ]]</f>
        <v>0</v>
      </c>
      <c r="P120" s="61">
        <f t="shared" si="9"/>
        <v>0</v>
      </c>
      <c r="Q120" s="61">
        <f>($C$6+$D$6+$E$6)*Table5[[#This Row],[Locality''s Allocation Percentage ]]</f>
        <v>364767.13652238745</v>
      </c>
      <c r="R120" s="61">
        <f>$F$6*Table5[[#This Row],[Locality''s Allocation Percentage ]]</f>
        <v>131991.89442878097</v>
      </c>
      <c r="S120" s="61">
        <f t="shared" si="10"/>
        <v>32997.973607195243</v>
      </c>
      <c r="T120" s="76">
        <f>($C$7+$D$7+$E$7)*Table5[[#This Row],[Locality''s Allocation Percentage ]]</f>
        <v>60555.997372657846</v>
      </c>
      <c r="U120" s="76">
        <f>$F$7*Table5[[#This Row],[Locality''s Allocation Percentage ]]</f>
        <v>22203.865703307878</v>
      </c>
      <c r="V120" s="76">
        <f t="shared" si="11"/>
        <v>5550.9664258269695</v>
      </c>
    </row>
    <row r="121" spans="10:22" s="19" customFormat="1" ht="18" customHeight="1" x14ac:dyDescent="0.25">
      <c r="J121" s="36" t="s">
        <v>307</v>
      </c>
      <c r="K121" s="37">
        <v>1.4430144301443E-2</v>
      </c>
      <c r="M121" s="22" t="s">
        <v>186</v>
      </c>
      <c r="N121" s="61">
        <f>($C$5+$D$5+$E$5)*Table5[[#This Row],[Locality''s Allocation Percentage ]]</f>
        <v>58677.428307403934</v>
      </c>
      <c r="O121" s="61">
        <f>$F$5*Table5[[#This Row],[Locality''s Allocation Percentage ]]</f>
        <v>0</v>
      </c>
      <c r="P121" s="61">
        <f t="shared" si="9"/>
        <v>0</v>
      </c>
      <c r="Q121" s="61">
        <f>($C$6+$D$6+$E$6)*Table5[[#This Row],[Locality''s Allocation Percentage ]]</f>
        <v>371460.11150444957</v>
      </c>
      <c r="R121" s="61">
        <f>$F$6*Table5[[#This Row],[Locality''s Allocation Percentage ]]</f>
        <v>134413.76405132742</v>
      </c>
      <c r="S121" s="61">
        <f t="shared" si="10"/>
        <v>33603.441012831856</v>
      </c>
      <c r="T121" s="76">
        <f>($C$7+$D$7+$E$7)*Table5[[#This Row],[Locality''s Allocation Percentage ]]</f>
        <v>61667.116590504782</v>
      </c>
      <c r="U121" s="76">
        <f>$F$7*Table5[[#This Row],[Locality''s Allocation Percentage ]]</f>
        <v>22611.276083185086</v>
      </c>
      <c r="V121" s="76">
        <f t="shared" si="11"/>
        <v>5652.8190207962716</v>
      </c>
    </row>
    <row r="122" spans="10:22" s="19" customFormat="1" ht="18" customHeight="1" x14ac:dyDescent="0.25">
      <c r="J122" s="36" t="s">
        <v>187</v>
      </c>
      <c r="K122" s="37">
        <v>4.4000440004400001E-3</v>
      </c>
      <c r="M122" s="22" t="s">
        <v>187</v>
      </c>
      <c r="N122" s="61">
        <f>($C$5+$D$5+$E$5)*Table5[[#This Row],[Locality''s Allocation Percentage ]]</f>
        <v>17891.939331432939</v>
      </c>
      <c r="O122" s="61">
        <f>$F$5*Table5[[#This Row],[Locality''s Allocation Percentage ]]</f>
        <v>0</v>
      </c>
      <c r="P122" s="61">
        <f t="shared" si="9"/>
        <v>0</v>
      </c>
      <c r="Q122" s="61">
        <f>($C$6+$D$6+$E$6)*Table5[[#This Row],[Locality''s Allocation Percentage ]]</f>
        <v>113265.73046566723</v>
      </c>
      <c r="R122" s="61">
        <f>$F$6*Table5[[#This Row],[Locality''s Allocation Percentage ]]</f>
        <v>40985.485920016676</v>
      </c>
      <c r="S122" s="61">
        <f t="shared" si="10"/>
        <v>10246.371480004169</v>
      </c>
      <c r="T122" s="76">
        <f>($C$7+$D$7+$E$7)*Table5[[#This Row],[Locality''s Allocation Percentage ]]</f>
        <v>18803.555994332713</v>
      </c>
      <c r="U122" s="76">
        <f>$F$7*Table5[[#This Row],[Locality''s Allocation Percentage ]]</f>
        <v>6894.6371979219948</v>
      </c>
      <c r="V122" s="76">
        <f t="shared" si="11"/>
        <v>1723.6592994804987</v>
      </c>
    </row>
    <row r="123" spans="10:22" s="19" customFormat="1" ht="18" customHeight="1" x14ac:dyDescent="0.25">
      <c r="J123" s="36" t="s">
        <v>188</v>
      </c>
      <c r="K123" s="37">
        <v>7.1000710007100096E-3</v>
      </c>
      <c r="M123" s="22" t="s">
        <v>188</v>
      </c>
      <c r="N123" s="61">
        <f>($C$5+$D$5+$E$5)*Table5[[#This Row],[Locality''s Allocation Percentage ]]</f>
        <v>28871.083921175919</v>
      </c>
      <c r="O123" s="61">
        <f>$F$5*Table5[[#This Row],[Locality''s Allocation Percentage ]]</f>
        <v>0</v>
      </c>
      <c r="P123" s="61">
        <f t="shared" si="9"/>
        <v>0</v>
      </c>
      <c r="Q123" s="61">
        <f>($C$6+$D$6+$E$6)*Table5[[#This Row],[Locality''s Allocation Percentage ]]</f>
        <v>182769.70143323601</v>
      </c>
      <c r="R123" s="61">
        <f>$F$6*Table5[[#This Row],[Locality''s Allocation Percentage ]]</f>
        <v>66135.670461845177</v>
      </c>
      <c r="S123" s="61">
        <f t="shared" si="10"/>
        <v>16533.917615461294</v>
      </c>
      <c r="T123" s="76">
        <f>($C$7+$D$7+$E$7)*Table5[[#This Row],[Locality''s Allocation Percentage ]]</f>
        <v>30342.101718127826</v>
      </c>
      <c r="U123" s="76">
        <f>$F$7*Table5[[#This Row],[Locality''s Allocation Percentage ]]</f>
        <v>11125.437296646869</v>
      </c>
      <c r="V123" s="76">
        <f t="shared" si="11"/>
        <v>2781.3593241617173</v>
      </c>
    </row>
    <row r="124" spans="10:22" s="19" customFormat="1" ht="18" customHeight="1" x14ac:dyDescent="0.25">
      <c r="J124" s="36" t="s">
        <v>308</v>
      </c>
      <c r="K124" s="37">
        <v>5.8000580005799997E-4</v>
      </c>
      <c r="M124" s="22" t="s">
        <v>189</v>
      </c>
      <c r="N124" s="61">
        <f>($C$5+$D$5+$E$5)*Table5[[#This Row],[Locality''s Allocation Percentage ]]</f>
        <v>2358.4829118707053</v>
      </c>
      <c r="O124" s="61">
        <f>$F$5*Table5[[#This Row],[Locality''s Allocation Percentage ]]</f>
        <v>0</v>
      </c>
      <c r="P124" s="61">
        <f t="shared" si="9"/>
        <v>0</v>
      </c>
      <c r="Q124" s="61">
        <f>($C$6+$D$6+$E$6)*Table5[[#This Row],[Locality''s Allocation Percentage ]]</f>
        <v>14930.482652292498</v>
      </c>
      <c r="R124" s="61">
        <f>$F$6*Table5[[#This Row],[Locality''s Allocation Percentage ]]</f>
        <v>5402.6322349112888</v>
      </c>
      <c r="S124" s="61">
        <f t="shared" si="10"/>
        <v>1350.6580587278222</v>
      </c>
      <c r="T124" s="76">
        <f>($C$7+$D$7+$E$7)*Table5[[#This Row],[Locality''s Allocation Percentage ]]</f>
        <v>2478.6505628893119</v>
      </c>
      <c r="U124" s="76">
        <f>$F$7*Table5[[#This Row],[Locality''s Allocation Percentage ]]</f>
        <v>908.83853972608097</v>
      </c>
      <c r="V124" s="76">
        <f t="shared" si="11"/>
        <v>227.20963493152024</v>
      </c>
    </row>
    <row r="125" spans="10:22" s="19" customFormat="1" ht="18" customHeight="1" x14ac:dyDescent="0.25">
      <c r="J125" s="36" t="s">
        <v>309</v>
      </c>
      <c r="K125" s="37">
        <v>8.1000810008099999E-4</v>
      </c>
      <c r="M125" s="22" t="s">
        <v>190</v>
      </c>
      <c r="N125" s="61">
        <f>($C$5+$D$5+$E$5)*Table5[[#This Row],[Locality''s Allocation Percentage ]]</f>
        <v>3293.7433769228819</v>
      </c>
      <c r="O125" s="61">
        <f>$F$5*Table5[[#This Row],[Locality''s Allocation Percentage ]]</f>
        <v>0</v>
      </c>
      <c r="P125" s="61">
        <f t="shared" si="9"/>
        <v>0</v>
      </c>
      <c r="Q125" s="61">
        <f>($C$6+$D$6+$E$6)*Table5[[#This Row],[Locality''s Allocation Percentage ]]</f>
        <v>20851.191290270559</v>
      </c>
      <c r="R125" s="61">
        <f>$F$6*Table5[[#This Row],[Locality''s Allocation Percentage ]]</f>
        <v>7545.0553625485245</v>
      </c>
      <c r="S125" s="61">
        <f t="shared" si="10"/>
        <v>1886.2638406371311</v>
      </c>
      <c r="T125" s="76">
        <f>($C$7+$D$7+$E$7)*Table5[[#This Row],[Locality''s Allocation Percentage ]]</f>
        <v>3461.563717138522</v>
      </c>
      <c r="U125" s="76">
        <f>$F$7*Table5[[#This Row],[Locality''s Allocation Percentage ]]</f>
        <v>1269.240029617458</v>
      </c>
      <c r="V125" s="76">
        <f t="shared" si="11"/>
        <v>317.31000740436451</v>
      </c>
    </row>
    <row r="126" spans="10:22" s="19" customFormat="1" ht="18" customHeight="1" x14ac:dyDescent="0.25">
      <c r="J126" s="36" t="s">
        <v>310</v>
      </c>
      <c r="K126" s="37">
        <v>1.6060160601606002E-2</v>
      </c>
      <c r="M126" s="22" t="s">
        <v>12</v>
      </c>
      <c r="N126" s="61">
        <f>($C$5+$D$5+$E$5)*Table5[[#This Row],[Locality''s Allocation Percentage ]]</f>
        <v>65305.578559730231</v>
      </c>
      <c r="O126" s="61">
        <f>$F$5*Table5[[#This Row],[Locality''s Allocation Percentage ]]</f>
        <v>0</v>
      </c>
      <c r="P126" s="61">
        <f t="shared" si="9"/>
        <v>0</v>
      </c>
      <c r="Q126" s="61">
        <f>($C$6+$D$6+$E$6)*Table5[[#This Row],[Locality''s Allocation Percentage ]]</f>
        <v>413419.91619968542</v>
      </c>
      <c r="R126" s="61">
        <f>$F$6*Table5[[#This Row],[Locality''s Allocation Percentage ]]</f>
        <v>149597.02360806087</v>
      </c>
      <c r="S126" s="61">
        <f t="shared" si="10"/>
        <v>37399.255902015218</v>
      </c>
      <c r="T126" s="76">
        <f>($C$7+$D$7+$E$7)*Table5[[#This Row],[Locality''s Allocation Percentage ]]</f>
        <v>68632.979379314405</v>
      </c>
      <c r="U126" s="76">
        <f>$F$7*Table5[[#This Row],[Locality''s Allocation Percentage ]]</f>
        <v>25165.425772415281</v>
      </c>
      <c r="V126" s="76">
        <f t="shared" si="11"/>
        <v>6291.3564431038203</v>
      </c>
    </row>
    <row r="127" spans="10:22" s="19" customFormat="1" ht="18" customHeight="1" x14ac:dyDescent="0.25">
      <c r="J127" s="36" t="s">
        <v>191</v>
      </c>
      <c r="K127" s="37">
        <v>4.8590485904859003E-2</v>
      </c>
      <c r="M127" s="22" t="s">
        <v>191</v>
      </c>
      <c r="N127" s="61">
        <f>($C$5+$D$5+$E$5)*Table5[[#This Row],[Locality''s Allocation Percentage ]]</f>
        <v>197583.9391168924</v>
      </c>
      <c r="O127" s="61">
        <f>$F$5*Table5[[#This Row],[Locality''s Allocation Percentage ]]</f>
        <v>0</v>
      </c>
      <c r="P127" s="61">
        <f t="shared" si="9"/>
        <v>0</v>
      </c>
      <c r="Q127" s="61">
        <f>($C$6+$D$6+$E$6)*Table5[[#This Row],[Locality''s Allocation Percentage ]]</f>
        <v>1250814.0553015389</v>
      </c>
      <c r="R127" s="61">
        <f>$F$6*Table5[[#This Row],[Locality''s Allocation Percentage ]]</f>
        <v>452610.17292127508</v>
      </c>
      <c r="S127" s="61">
        <f t="shared" si="10"/>
        <v>113152.54323031877</v>
      </c>
      <c r="T127" s="76">
        <f>($C$7+$D$7+$E$7)*Table5[[#This Row],[Locality''s Allocation Percentage ]]</f>
        <v>207651.08767377876</v>
      </c>
      <c r="U127" s="76">
        <f>$F$7*Table5[[#This Row],[Locality''s Allocation Percentage ]]</f>
        <v>76138.732147052215</v>
      </c>
      <c r="V127" s="76">
        <f t="shared" si="11"/>
        <v>19034.683036763054</v>
      </c>
    </row>
    <row r="128" spans="10:22" s="19" customFormat="1" ht="18" customHeight="1" x14ac:dyDescent="0.25">
      <c r="J128" s="36" t="s">
        <v>311</v>
      </c>
      <c r="K128" s="37">
        <v>7.6600766007660099E-3</v>
      </c>
      <c r="M128" s="22" t="s">
        <v>192</v>
      </c>
      <c r="N128" s="61">
        <f>($C$5+$D$5+$E$5)*Table5[[#This Row],[Locality''s Allocation Percentage ]]</f>
        <v>31148.239836085566</v>
      </c>
      <c r="O128" s="61">
        <f>$F$5*Table5[[#This Row],[Locality''s Allocation Percentage ]]</f>
        <v>0</v>
      </c>
      <c r="P128" s="61">
        <f t="shared" si="9"/>
        <v>0</v>
      </c>
      <c r="Q128" s="61">
        <f>($C$6+$D$6+$E$6)*Table5[[#This Row],[Locality''s Allocation Percentage ]]</f>
        <v>197185.33985613912</v>
      </c>
      <c r="R128" s="61">
        <f>$F$6*Table5[[#This Row],[Locality''s Allocation Percentage ]]</f>
        <v>71352.005033483671</v>
      </c>
      <c r="S128" s="61">
        <f t="shared" si="10"/>
        <v>17838.001258370918</v>
      </c>
      <c r="T128" s="76">
        <f>($C$7+$D$7+$E$7)*Table5[[#This Row],[Locality''s Allocation Percentage ]]</f>
        <v>32735.281571951989</v>
      </c>
      <c r="U128" s="76">
        <f>$F$7*Table5[[#This Row],[Locality''s Allocation Percentage ]]</f>
        <v>12002.936576382397</v>
      </c>
      <c r="V128" s="76">
        <f t="shared" si="11"/>
        <v>3000.7341440955993</v>
      </c>
    </row>
    <row r="129" spans="10:22" s="19" customFormat="1" ht="18" customHeight="1" x14ac:dyDescent="0.25">
      <c r="J129" s="36" t="s">
        <v>312</v>
      </c>
      <c r="K129" s="37">
        <v>9.9600996009960099E-3</v>
      </c>
      <c r="M129" s="22" t="s">
        <v>193</v>
      </c>
      <c r="N129" s="61">
        <f>($C$5+$D$5+$E$5)*Table5[[#This Row],[Locality''s Allocation Percentage ]]</f>
        <v>40500.844486607326</v>
      </c>
      <c r="O129" s="61">
        <f>$F$5*Table5[[#This Row],[Locality''s Allocation Percentage ]]</f>
        <v>0</v>
      </c>
      <c r="P129" s="61">
        <f t="shared" si="9"/>
        <v>0</v>
      </c>
      <c r="Q129" s="61">
        <f>($C$6+$D$6+$E$6)*Table5[[#This Row],[Locality''s Allocation Percentage ]]</f>
        <v>256392.4262359197</v>
      </c>
      <c r="R129" s="61">
        <f>$F$6*Table5[[#This Row],[Locality''s Allocation Percentage ]]</f>
        <v>92776.236309856016</v>
      </c>
      <c r="S129" s="61">
        <f t="shared" si="10"/>
        <v>23194.059077464004</v>
      </c>
      <c r="T129" s="76">
        <f>($C$7+$D$7+$E$7)*Table5[[#This Row],[Locality''s Allocation Percentage ]]</f>
        <v>42564.413114444091</v>
      </c>
      <c r="U129" s="76">
        <f>$F$7*Table5[[#This Row],[Locality''s Allocation Percentage ]]</f>
        <v>15606.951475296166</v>
      </c>
      <c r="V129" s="76">
        <f t="shared" si="11"/>
        <v>3901.7378688240415</v>
      </c>
    </row>
    <row r="130" spans="10:22" s="19" customFormat="1" ht="18" customHeight="1" x14ac:dyDescent="0.25">
      <c r="J130" s="36" t="s">
        <v>194</v>
      </c>
      <c r="K130" s="37">
        <v>3.6300363003630002E-3</v>
      </c>
      <c r="M130" s="22" t="s">
        <v>194</v>
      </c>
      <c r="N130" s="61">
        <f>($C$5+$D$5+$E$5)*Table5[[#This Row],[Locality''s Allocation Percentage ]]</f>
        <v>14760.849948432175</v>
      </c>
      <c r="O130" s="61">
        <f>$F$5*Table5[[#This Row],[Locality''s Allocation Percentage ]]</f>
        <v>0</v>
      </c>
      <c r="P130" s="61">
        <f t="shared" si="9"/>
        <v>0</v>
      </c>
      <c r="Q130" s="61">
        <f>($C$6+$D$6+$E$6)*Table5[[#This Row],[Locality''s Allocation Percentage ]]</f>
        <v>93444.227634175477</v>
      </c>
      <c r="R130" s="61">
        <f>$F$6*Table5[[#This Row],[Locality''s Allocation Percentage ]]</f>
        <v>33813.025884013761</v>
      </c>
      <c r="S130" s="61">
        <f t="shared" si="10"/>
        <v>8453.2564710034403</v>
      </c>
      <c r="T130" s="76">
        <f>($C$7+$D$7+$E$7)*Table5[[#This Row],[Locality''s Allocation Percentage ]]</f>
        <v>15512.933695324487</v>
      </c>
      <c r="U130" s="76">
        <f>$F$7*Table5[[#This Row],[Locality''s Allocation Percentage ]]</f>
        <v>5688.0756882856458</v>
      </c>
      <c r="V130" s="76">
        <f t="shared" si="11"/>
        <v>1422.0189220714115</v>
      </c>
    </row>
    <row r="131" spans="10:22" s="19" customFormat="1" ht="18" customHeight="1" x14ac:dyDescent="0.25">
      <c r="J131" s="36" t="s">
        <v>313</v>
      </c>
      <c r="K131" s="37">
        <v>2.230022300223E-3</v>
      </c>
      <c r="M131" s="22" t="s">
        <v>195</v>
      </c>
      <c r="N131" s="61">
        <f>($C$5+$D$5+$E$5)*Table5[[#This Row],[Locality''s Allocation Percentage ]]</f>
        <v>9067.9601611580583</v>
      </c>
      <c r="O131" s="61">
        <f>$F$5*Table5[[#This Row],[Locality''s Allocation Percentage ]]</f>
        <v>0</v>
      </c>
      <c r="P131" s="61">
        <f t="shared" si="9"/>
        <v>0</v>
      </c>
      <c r="Q131" s="61">
        <f>($C$6+$D$6+$E$6)*Table5[[#This Row],[Locality''s Allocation Percentage ]]</f>
        <v>57405.131576917709</v>
      </c>
      <c r="R131" s="61">
        <f>$F$6*Table5[[#This Row],[Locality''s Allocation Percentage ]]</f>
        <v>20772.189454917541</v>
      </c>
      <c r="S131" s="61">
        <f t="shared" si="10"/>
        <v>5193.0473637293853</v>
      </c>
      <c r="T131" s="76">
        <f>($C$7+$D$7+$E$7)*Table5[[#This Row],[Locality''s Allocation Percentage ]]</f>
        <v>9529.9840607640799</v>
      </c>
      <c r="U131" s="76">
        <f>$F$7*Table5[[#This Row],[Locality''s Allocation Percentage ]]</f>
        <v>3494.3274889468289</v>
      </c>
      <c r="V131" s="76">
        <f t="shared" si="11"/>
        <v>873.58187223670723</v>
      </c>
    </row>
    <row r="132" spans="10:22" s="19" customFormat="1" ht="18" customHeight="1" x14ac:dyDescent="0.25">
      <c r="J132" s="36" t="s">
        <v>196</v>
      </c>
      <c r="K132" s="37">
        <v>8.6000860008599998E-4</v>
      </c>
      <c r="M132" s="22" t="s">
        <v>196</v>
      </c>
      <c r="N132" s="61">
        <f>($C$5+$D$5+$E$5)*Table5[[#This Row],[Locality''s Allocation Percentage ]]</f>
        <v>3497.060869325529</v>
      </c>
      <c r="O132" s="61">
        <f>$F$5*Table5[[#This Row],[Locality''s Allocation Percentage ]]</f>
        <v>0</v>
      </c>
      <c r="P132" s="61">
        <f t="shared" si="9"/>
        <v>0</v>
      </c>
      <c r="Q132" s="61">
        <f>($C$6+$D$6+$E$6)*Table5[[#This Row],[Locality''s Allocation Percentage ]]</f>
        <v>22138.301863744051</v>
      </c>
      <c r="R132" s="61">
        <f>$F$6*Table5[[#This Row],[Locality''s Allocation Percentage ]]</f>
        <v>8010.7995207305321</v>
      </c>
      <c r="S132" s="61">
        <f t="shared" si="10"/>
        <v>2002.699880182633</v>
      </c>
      <c r="T132" s="76">
        <f>($C$7+$D$7+$E$7)*Table5[[#This Row],[Locality''s Allocation Percentage ]]</f>
        <v>3675.2404898013938</v>
      </c>
      <c r="U132" s="76">
        <f>$F$7*Table5[[#This Row],[Locality''s Allocation Percentage ]]</f>
        <v>1347.5881795938442</v>
      </c>
      <c r="V132" s="76">
        <f t="shared" si="11"/>
        <v>336.89704489846105</v>
      </c>
    </row>
    <row r="133" spans="10:22" s="19" customFormat="1" ht="18" customHeight="1" x14ac:dyDescent="0.25">
      <c r="J133" s="36" t="s">
        <v>197</v>
      </c>
      <c r="K133" s="37">
        <v>6.4900649006490096E-3</v>
      </c>
      <c r="M133" s="22" t="s">
        <v>197</v>
      </c>
      <c r="N133" s="61">
        <f>($C$5+$D$5+$E$5)*Table5[[#This Row],[Locality''s Allocation Percentage ]]</f>
        <v>26390.610513863623</v>
      </c>
      <c r="O133" s="61">
        <f>$F$5*Table5[[#This Row],[Locality''s Allocation Percentage ]]</f>
        <v>0</v>
      </c>
      <c r="P133" s="61">
        <f t="shared" ref="P133:P136" si="12">O133*0.25</f>
        <v>0</v>
      </c>
      <c r="Q133" s="61">
        <f>($C$6+$D$6+$E$6)*Table5[[#This Row],[Locality''s Allocation Percentage ]]</f>
        <v>167066.95243685943</v>
      </c>
      <c r="R133" s="61">
        <f>$F$6*Table5[[#This Row],[Locality''s Allocation Percentage ]]</f>
        <v>60453.591732024688</v>
      </c>
      <c r="S133" s="61">
        <f t="shared" ref="S133:S136" si="13">R133*0.25</f>
        <v>15113.397933006172</v>
      </c>
      <c r="T133" s="76">
        <f>($C$7+$D$7+$E$7)*Table5[[#This Row],[Locality''s Allocation Percentage ]]</f>
        <v>27735.245091640791</v>
      </c>
      <c r="U133" s="76">
        <f>$F$7*Table5[[#This Row],[Locality''s Allocation Percentage ]]</f>
        <v>10169.589866934957</v>
      </c>
      <c r="V133" s="76">
        <f t="shared" ref="V133:V136" si="14">U133*0.25</f>
        <v>2542.3974667337393</v>
      </c>
    </row>
    <row r="134" spans="10:22" s="19" customFormat="1" ht="18" customHeight="1" x14ac:dyDescent="0.25">
      <c r="J134" s="36" t="s">
        <v>314</v>
      </c>
      <c r="K134" s="37">
        <v>1.7560175601756E-2</v>
      </c>
      <c r="M134" s="22" t="s">
        <v>198</v>
      </c>
      <c r="N134" s="61">
        <f>($C$5+$D$5+$E$5)*Table5[[#This Row],[Locality''s Allocation Percentage ]]</f>
        <v>71405.103331809631</v>
      </c>
      <c r="O134" s="61">
        <f>$F$5*Table5[[#This Row],[Locality''s Allocation Percentage ]]</f>
        <v>0</v>
      </c>
      <c r="P134" s="61">
        <f t="shared" si="12"/>
        <v>0</v>
      </c>
      <c r="Q134" s="61">
        <f>($C$6+$D$6+$E$6)*Table5[[#This Row],[Locality''s Allocation Percentage ]]</f>
        <v>452033.23340389016</v>
      </c>
      <c r="R134" s="61">
        <f>$F$6*Table5[[#This Row],[Locality''s Allocation Percentage ]]</f>
        <v>163569.34835352108</v>
      </c>
      <c r="S134" s="61">
        <f t="shared" si="13"/>
        <v>40892.337088380271</v>
      </c>
      <c r="T134" s="76">
        <f>($C$7+$D$7+$E$7)*Table5[[#This Row],[Locality''s Allocation Percentage ]]</f>
        <v>75043.282559200554</v>
      </c>
      <c r="U134" s="76">
        <f>$F$7*Table5[[#This Row],[Locality''s Allocation Percentage ]]</f>
        <v>27515.870271706866</v>
      </c>
      <c r="V134" s="76">
        <f t="shared" si="14"/>
        <v>6878.9675679267166</v>
      </c>
    </row>
    <row r="135" spans="10:22" s="19" customFormat="1" ht="18" customHeight="1" x14ac:dyDescent="0.25">
      <c r="J135" s="36" t="s">
        <v>315</v>
      </c>
      <c r="K135" s="37">
        <v>6.4200642006420096E-3</v>
      </c>
      <c r="M135" s="22" t="s">
        <v>199</v>
      </c>
      <c r="N135" s="61">
        <f>($C$5+$D$5+$E$5)*Table5[[#This Row],[Locality''s Allocation Percentage ]]</f>
        <v>26105.966024499918</v>
      </c>
      <c r="O135" s="61">
        <f>$F$5*Table5[[#This Row],[Locality''s Allocation Percentage ]]</f>
        <v>0</v>
      </c>
      <c r="P135" s="61">
        <f t="shared" si="12"/>
        <v>0</v>
      </c>
      <c r="Q135" s="61">
        <f>($C$6+$D$6+$E$6)*Table5[[#This Row],[Locality''s Allocation Percentage ]]</f>
        <v>165264.99763399654</v>
      </c>
      <c r="R135" s="61">
        <f>$F$6*Table5[[#This Row],[Locality''s Allocation Percentage ]]</f>
        <v>59801.549910569876</v>
      </c>
      <c r="S135" s="61">
        <f t="shared" si="13"/>
        <v>14950.387477642469</v>
      </c>
      <c r="T135" s="76">
        <f>($C$7+$D$7+$E$7)*Table5[[#This Row],[Locality''s Allocation Percentage ]]</f>
        <v>27436.097609912769</v>
      </c>
      <c r="U135" s="76">
        <f>$F$7*Table5[[#This Row],[Locality''s Allocation Percentage ]]</f>
        <v>10059.902456968015</v>
      </c>
      <c r="V135" s="76">
        <f t="shared" si="14"/>
        <v>2514.9756142420038</v>
      </c>
    </row>
    <row r="136" spans="10:22" s="19" customFormat="1" ht="18" customHeight="1" x14ac:dyDescent="0.25">
      <c r="J136" s="59" t="s">
        <v>316</v>
      </c>
      <c r="K136" s="60">
        <v>5.6100561005610096E-3</v>
      </c>
      <c r="M136" s="22" t="s">
        <v>200</v>
      </c>
      <c r="N136" s="61">
        <f>($C$5+$D$5+$E$5)*Table5[[#This Row],[Locality''s Allocation Percentage ]]</f>
        <v>22812.222647577037</v>
      </c>
      <c r="O136" s="61">
        <f>$F$5*Table5[[#This Row],[Locality''s Allocation Percentage ]]</f>
        <v>0</v>
      </c>
      <c r="P136" s="61">
        <f t="shared" si="12"/>
        <v>0</v>
      </c>
      <c r="Q136" s="61">
        <f>($C$6+$D$6+$E$6)*Table5[[#This Row],[Locality''s Allocation Percentage ]]</f>
        <v>144413.80634372597</v>
      </c>
      <c r="R136" s="61">
        <f>$F$6*Table5[[#This Row],[Locality''s Allocation Percentage ]]</f>
        <v>52256.49454802135</v>
      </c>
      <c r="S136" s="61">
        <f t="shared" si="13"/>
        <v>13064.123637005338</v>
      </c>
      <c r="T136" s="76">
        <f>($C$7+$D$7+$E$7)*Table5[[#This Row],[Locality''s Allocation Percentage ]]</f>
        <v>23974.533892774249</v>
      </c>
      <c r="U136" s="76">
        <f>$F$7*Table5[[#This Row],[Locality''s Allocation Percentage ]]</f>
        <v>8790.6624273505568</v>
      </c>
      <c r="V136" s="76">
        <f t="shared" si="14"/>
        <v>2197.6656068376392</v>
      </c>
    </row>
    <row r="137" spans="10:22" s="19" customFormat="1" ht="18" customHeight="1" x14ac:dyDescent="0.25">
      <c r="J137"/>
      <c r="K137"/>
      <c r="P137" s="35"/>
      <c r="Q137" s="35"/>
      <c r="R137" s="35"/>
      <c r="S137" s="35"/>
    </row>
    <row r="138" spans="10:22" s="19" customFormat="1" ht="18" customHeight="1" x14ac:dyDescent="0.25">
      <c r="J138"/>
      <c r="K138"/>
      <c r="P138" s="35"/>
      <c r="Q138" s="35"/>
      <c r="R138" s="35"/>
      <c r="S138" s="35"/>
      <c r="T138" s="23">
        <f>SUM(T4:T136)</f>
        <v>4273492.7179029025</v>
      </c>
      <c r="U138" s="23">
        <f t="shared" ref="U138:V138" si="15">SUM(U4:U136)</f>
        <v>1566947.3298977318</v>
      </c>
      <c r="V138" s="23">
        <f t="shared" si="15"/>
        <v>391736.83247443294</v>
      </c>
    </row>
    <row r="139" spans="10:22" s="19" customFormat="1" ht="18" customHeight="1" x14ac:dyDescent="0.25">
      <c r="P139" s="35"/>
      <c r="Q139" s="35"/>
      <c r="R139" s="35"/>
      <c r="S139" s="35"/>
    </row>
  </sheetData>
  <mergeCells count="3">
    <mergeCell ref="E1:F1"/>
    <mergeCell ref="B24:G28"/>
    <mergeCell ref="B31:F32"/>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9AE8D-65DE-4229-B474-3A4A49B2B2DB}">
  <dimension ref="B1:CD140"/>
  <sheetViews>
    <sheetView topLeftCell="A31" zoomScale="70" zoomScaleNormal="70" workbookViewId="0">
      <selection activeCell="K68" sqref="K68"/>
    </sheetView>
  </sheetViews>
  <sheetFormatPr defaultRowHeight="15" x14ac:dyDescent="0.25"/>
  <cols>
    <col min="2" max="13" width="23.5703125" customWidth="1"/>
    <col min="14" max="14" width="33.85546875" customWidth="1"/>
    <col min="15" max="15" width="7.42578125" customWidth="1"/>
    <col min="16" max="16" width="21.28515625" customWidth="1"/>
    <col min="17" max="17" width="40.140625" customWidth="1"/>
    <col min="19" max="37" width="32.5703125" customWidth="1"/>
    <col min="38" max="38" width="18.140625" customWidth="1"/>
    <col min="39" max="56" width="32.5703125" customWidth="1"/>
    <col min="57" max="57" width="27.7109375" customWidth="1"/>
    <col min="58" max="79" width="32.5703125" style="63" customWidth="1"/>
    <col min="80" max="80" width="34.140625" customWidth="1"/>
    <col min="81" max="81" width="29.140625" customWidth="1"/>
    <col min="82" max="82" width="28.42578125" customWidth="1"/>
  </cols>
  <sheetData>
    <row r="1" spans="2:82" ht="18" customHeight="1" x14ac:dyDescent="0.25">
      <c r="B1" s="246" t="s">
        <v>317</v>
      </c>
      <c r="C1" s="247"/>
      <c r="D1" s="9"/>
      <c r="E1" s="157">
        <f>E7/E36</f>
        <v>0.3</v>
      </c>
      <c r="F1">
        <v>0.22500000000000001</v>
      </c>
      <c r="G1">
        <f>G7/G36</f>
        <v>0.22500000000000001</v>
      </c>
      <c r="H1">
        <v>0.22500000000000001</v>
      </c>
      <c r="I1">
        <f>I7/I36</f>
        <v>0.255</v>
      </c>
      <c r="J1" s="155">
        <v>0.25</v>
      </c>
      <c r="K1" s="155">
        <v>0.3</v>
      </c>
      <c r="L1" s="155"/>
      <c r="M1" s="198"/>
      <c r="N1" s="140">
        <f>SUM(C5:J7)</f>
        <v>61554679.41922161</v>
      </c>
      <c r="O1" s="9"/>
      <c r="P1" s="10"/>
      <c r="Q1" s="10"/>
      <c r="R1" s="10"/>
      <c r="S1" s="10"/>
      <c r="T1" s="10"/>
      <c r="U1" s="10"/>
      <c r="V1" s="10"/>
      <c r="W1" s="10"/>
      <c r="X1" s="10"/>
      <c r="Y1" s="10"/>
      <c r="Z1" s="10"/>
      <c r="AA1" s="10"/>
      <c r="AB1" s="10"/>
      <c r="AC1" s="10"/>
      <c r="AD1" s="10"/>
      <c r="AE1" s="10"/>
      <c r="AF1" s="10"/>
      <c r="AG1" s="10"/>
      <c r="AH1" s="10"/>
      <c r="AI1" s="10"/>
      <c r="AJ1" s="62"/>
      <c r="AK1" s="10"/>
      <c r="AL1" s="10"/>
      <c r="AM1" s="10"/>
      <c r="AN1" s="10"/>
      <c r="AO1" s="10"/>
      <c r="AP1" s="10"/>
      <c r="AQ1" s="10"/>
      <c r="AR1" s="10"/>
      <c r="AS1" s="10"/>
      <c r="AT1" s="10"/>
      <c r="AU1" s="10"/>
      <c r="AV1" s="10"/>
      <c r="AW1" s="10"/>
      <c r="AX1" s="10"/>
      <c r="AY1" s="10"/>
      <c r="AZ1" s="10"/>
      <c r="BA1" s="10"/>
      <c r="BB1" s="10"/>
      <c r="BC1" s="10"/>
      <c r="BD1" s="10"/>
      <c r="BE1" s="10"/>
      <c r="BF1" s="62"/>
      <c r="BG1" s="62"/>
      <c r="BH1" s="62"/>
      <c r="BI1" s="62"/>
      <c r="BJ1" s="62"/>
      <c r="BK1" s="62"/>
      <c r="BL1" s="62"/>
      <c r="BM1" s="62"/>
      <c r="BN1" s="62"/>
      <c r="BO1" s="62"/>
      <c r="BP1" s="62"/>
      <c r="BQ1" s="62"/>
      <c r="BR1" s="62"/>
      <c r="BS1" s="62"/>
      <c r="BT1" s="62"/>
      <c r="BU1" s="62"/>
      <c r="BV1" s="62"/>
      <c r="BW1" s="62"/>
      <c r="BX1" s="62"/>
      <c r="BY1" s="62"/>
      <c r="BZ1" s="62"/>
      <c r="CA1" s="62"/>
      <c r="CB1" s="63"/>
    </row>
    <row r="2" spans="2:82" ht="16.5" thickBot="1" x14ac:dyDescent="0.3">
      <c r="B2" s="9"/>
      <c r="C2" s="9" t="s">
        <v>318</v>
      </c>
      <c r="D2" s="9" t="s">
        <v>318</v>
      </c>
      <c r="E2" s="9" t="s">
        <v>318</v>
      </c>
      <c r="F2" s="9" t="s">
        <v>318</v>
      </c>
      <c r="G2" s="9" t="s">
        <v>318</v>
      </c>
      <c r="H2" s="9" t="s">
        <v>318</v>
      </c>
      <c r="I2" s="9" t="s">
        <v>318</v>
      </c>
      <c r="J2" s="9" t="s">
        <v>318</v>
      </c>
      <c r="K2" s="9"/>
      <c r="L2" s="9"/>
      <c r="M2" s="9"/>
      <c r="N2" s="140"/>
      <c r="O2" s="9"/>
      <c r="P2" s="11"/>
      <c r="Q2" s="11"/>
      <c r="R2" s="11"/>
      <c r="S2" s="65"/>
      <c r="T2" s="80" t="s">
        <v>319</v>
      </c>
      <c r="U2" s="64"/>
      <c r="V2" s="64"/>
      <c r="W2" s="64"/>
      <c r="X2" s="64"/>
      <c r="Y2" s="64"/>
      <c r="Z2" s="64"/>
      <c r="AA2" s="64"/>
      <c r="AB2" s="64"/>
      <c r="AC2" s="64"/>
      <c r="AD2" s="64"/>
      <c r="AE2" s="64"/>
      <c r="AF2" s="64"/>
      <c r="AG2" s="64"/>
      <c r="AH2" s="64"/>
      <c r="AI2" s="64"/>
      <c r="AJ2" s="64"/>
      <c r="AK2" s="64"/>
      <c r="AL2" s="80" t="s">
        <v>320</v>
      </c>
      <c r="AM2" s="64"/>
      <c r="AN2" s="64"/>
      <c r="AO2" s="64"/>
      <c r="AP2" s="64"/>
      <c r="AQ2" s="64"/>
      <c r="AR2" s="64"/>
      <c r="AS2" s="64"/>
      <c r="AT2" s="64"/>
      <c r="AU2" s="64"/>
      <c r="AV2" s="64"/>
      <c r="AW2" s="64"/>
      <c r="AX2" s="64"/>
      <c r="AY2" s="64"/>
      <c r="AZ2" s="64"/>
      <c r="BA2" s="64"/>
      <c r="BB2" s="64"/>
      <c r="BC2" s="64"/>
      <c r="BD2" s="64"/>
      <c r="BE2" s="80" t="s">
        <v>321</v>
      </c>
      <c r="BF2" s="65"/>
      <c r="BG2" s="65"/>
      <c r="BH2" s="65"/>
      <c r="BI2" s="65"/>
      <c r="BJ2" s="65"/>
      <c r="BK2" s="65"/>
      <c r="BL2" s="65"/>
      <c r="BM2" s="65"/>
      <c r="BN2" s="65"/>
      <c r="BO2" s="65"/>
      <c r="BP2" s="65"/>
      <c r="BQ2" s="65"/>
      <c r="BR2" s="65"/>
      <c r="BS2" s="65"/>
      <c r="BT2" s="65"/>
      <c r="BU2" s="65"/>
      <c r="BV2" s="65"/>
      <c r="BW2" s="65"/>
      <c r="BX2" s="65"/>
      <c r="BY2" s="65"/>
      <c r="BZ2" s="65"/>
      <c r="CA2" s="65"/>
      <c r="CB2" s="66"/>
      <c r="CC2" s="66"/>
      <c r="CD2" s="66"/>
    </row>
    <row r="3" spans="2:82" ht="46.5" customHeight="1" thickBot="1" x14ac:dyDescent="0.3">
      <c r="B3" s="12" t="s">
        <v>204</v>
      </c>
      <c r="C3" s="13"/>
      <c r="D3" s="13"/>
      <c r="E3" s="13"/>
      <c r="F3" s="13"/>
      <c r="G3" s="13"/>
      <c r="H3" s="13"/>
      <c r="I3" s="13"/>
      <c r="J3" s="13"/>
      <c r="K3" s="13"/>
      <c r="L3" s="13"/>
      <c r="M3" s="13"/>
      <c r="N3" s="63"/>
      <c r="P3" s="14" t="s">
        <v>201</v>
      </c>
      <c r="Q3" s="15" t="s">
        <v>205</v>
      </c>
      <c r="S3" s="66"/>
      <c r="T3" s="67" t="s">
        <v>55</v>
      </c>
      <c r="U3" s="67" t="s">
        <v>57</v>
      </c>
      <c r="V3" s="67" t="s">
        <v>59</v>
      </c>
      <c r="W3" s="67" t="s">
        <v>61</v>
      </c>
      <c r="X3" s="67" t="s">
        <v>63</v>
      </c>
      <c r="Y3" s="67" t="s">
        <v>65</v>
      </c>
      <c r="Z3" s="67" t="s">
        <v>66</v>
      </c>
      <c r="AA3" s="67" t="s">
        <v>68</v>
      </c>
      <c r="AB3" s="67" t="s">
        <v>70</v>
      </c>
      <c r="AC3" s="67" t="s">
        <v>72</v>
      </c>
      <c r="AD3" s="67" t="s">
        <v>74</v>
      </c>
      <c r="AE3" s="67" t="s">
        <v>76</v>
      </c>
      <c r="AF3" s="67" t="s">
        <v>78</v>
      </c>
      <c r="AG3" s="67" t="s">
        <v>80</v>
      </c>
      <c r="AH3" s="67" t="s">
        <v>82</v>
      </c>
      <c r="AI3" s="67" t="s">
        <v>84</v>
      </c>
      <c r="AJ3" s="67" t="s">
        <v>86</v>
      </c>
      <c r="AK3" s="67" t="s">
        <v>88</v>
      </c>
      <c r="AL3" s="68"/>
      <c r="AM3" s="67" t="s">
        <v>55</v>
      </c>
      <c r="AN3" s="67" t="s">
        <v>57</v>
      </c>
      <c r="AO3" s="67" t="s">
        <v>59</v>
      </c>
      <c r="AP3" s="67" t="s">
        <v>61</v>
      </c>
      <c r="AQ3" s="67" t="s">
        <v>63</v>
      </c>
      <c r="AR3" s="67" t="s">
        <v>65</v>
      </c>
      <c r="AS3" s="67" t="s">
        <v>66</v>
      </c>
      <c r="AT3" s="67" t="s">
        <v>68</v>
      </c>
      <c r="AU3" s="67" t="s">
        <v>70</v>
      </c>
      <c r="AV3" s="67" t="s">
        <v>72</v>
      </c>
      <c r="AW3" s="67" t="s">
        <v>74</v>
      </c>
      <c r="AX3" s="67" t="s">
        <v>76</v>
      </c>
      <c r="AY3" s="67" t="s">
        <v>78</v>
      </c>
      <c r="AZ3" s="67" t="s">
        <v>80</v>
      </c>
      <c r="BA3" s="67" t="s">
        <v>82</v>
      </c>
      <c r="BB3" s="67" t="s">
        <v>84</v>
      </c>
      <c r="BC3" s="67" t="s">
        <v>86</v>
      </c>
      <c r="BD3" s="67" t="s">
        <v>88</v>
      </c>
      <c r="BE3" s="68"/>
      <c r="BF3" s="69" t="s">
        <v>55</v>
      </c>
      <c r="BG3" s="69" t="s">
        <v>57</v>
      </c>
      <c r="BH3" s="69" t="s">
        <v>59</v>
      </c>
      <c r="BI3" s="69" t="s">
        <v>61</v>
      </c>
      <c r="BJ3" s="69" t="s">
        <v>63</v>
      </c>
      <c r="BK3" s="69" t="s">
        <v>65</v>
      </c>
      <c r="BL3" s="69" t="s">
        <v>66</v>
      </c>
      <c r="BM3" s="69" t="s">
        <v>68</v>
      </c>
      <c r="BN3" s="69" t="s">
        <v>70</v>
      </c>
      <c r="BO3" s="69" t="s">
        <v>72</v>
      </c>
      <c r="BP3" s="69" t="s">
        <v>74</v>
      </c>
      <c r="BQ3" s="69" t="s">
        <v>76</v>
      </c>
      <c r="BR3" s="69" t="s">
        <v>78</v>
      </c>
      <c r="BS3" s="69" t="s">
        <v>80</v>
      </c>
      <c r="BT3" s="69" t="s">
        <v>82</v>
      </c>
      <c r="BU3" s="69" t="s">
        <v>84</v>
      </c>
      <c r="BV3" s="69" t="s">
        <v>86</v>
      </c>
      <c r="BW3" s="69" t="s">
        <v>88</v>
      </c>
      <c r="BX3" s="81"/>
      <c r="BY3" s="70" t="s">
        <v>210</v>
      </c>
      <c r="BZ3" s="71" t="s">
        <v>211</v>
      </c>
      <c r="CA3" s="72" t="s">
        <v>212</v>
      </c>
      <c r="CB3" s="73" t="s">
        <v>213</v>
      </c>
      <c r="CC3" s="74" t="s">
        <v>214</v>
      </c>
      <c r="CD3" s="75" t="s">
        <v>215</v>
      </c>
    </row>
    <row r="4" spans="2:82" s="19" customFormat="1" ht="19.5" customHeight="1" thickBot="1" x14ac:dyDescent="0.3">
      <c r="B4" s="16" t="s">
        <v>49</v>
      </c>
      <c r="C4" s="17" t="s">
        <v>40</v>
      </c>
      <c r="D4" s="17" t="s">
        <v>41</v>
      </c>
      <c r="E4" s="17" t="s">
        <v>50</v>
      </c>
      <c r="F4" s="17" t="s">
        <v>44</v>
      </c>
      <c r="G4" s="17" t="s">
        <v>45</v>
      </c>
      <c r="H4" s="17" t="s">
        <v>51</v>
      </c>
      <c r="I4" s="17" t="s">
        <v>47</v>
      </c>
      <c r="J4" s="17" t="s">
        <v>48</v>
      </c>
      <c r="K4" s="17" t="s">
        <v>388</v>
      </c>
      <c r="L4" s="17" t="s">
        <v>52</v>
      </c>
      <c r="M4" s="18" t="s">
        <v>26</v>
      </c>
      <c r="N4" s="35"/>
      <c r="P4" s="20" t="s">
        <v>216</v>
      </c>
      <c r="Q4" s="21">
        <v>3.480034800348E-3</v>
      </c>
      <c r="S4" s="22" t="s">
        <v>53</v>
      </c>
      <c r="T4" s="61">
        <f>($C$5+$D$5+$E$5+$F$5+$G$5+$H$5+$I$5+$J$5+$K$5)*Table53[[#This Row],[Locality''s Allocation Percentage ]]</f>
        <v>14150.897471224234</v>
      </c>
      <c r="U4" s="61">
        <f>($C$6+$D$6+$E$6+$F$6+$G$6+$H$6+$I$6+$J$6+$K$6)*Table53[[#This Row],[Locality''s Allocation Percentage ]]</f>
        <v>89582.895913754997</v>
      </c>
      <c r="V4" s="61">
        <f>($C$7+$D$7+$E$7+$F$7+$G$7+$H$7+$I$7+$J$7+$K$7)*Table53[[#This Row],[Locality''s Allocation Percentage ]]</f>
        <v>110478.6331181768</v>
      </c>
      <c r="W4" s="61">
        <f>($C$8+$D$8+$E$8+$F$8+$G$8+$H$8+$I$8+$J$8+$K$8)*Table53[[#This Row],[Locality''s Allocation Percentage ]]</f>
        <v>42368.311223100747</v>
      </c>
      <c r="X4" s="61">
        <f>($C$9+$D$9+$E$9+$F$9+$G$9+$H$9+$I$9+$J$9+$K$9)*Table53[[#This Row],[Locality''s Allocation Percentage ]]</f>
        <v>45527.488402206727</v>
      </c>
      <c r="Y4" s="61">
        <f>($C$10+$D$10+$E$10+$F$10+$G$10+$H$10+$I$10+$J$10+$K$10)*Table53[[#This Row],[Locality''s Allocation Percentage ]]</f>
        <v>48384.857271364977</v>
      </c>
      <c r="Z4" s="61">
        <f>($C$11+$D$11+$E$11+$F$11+$G$11+$H$11+$I$11+$J$11+$K$11)*Table53[[#This Row],[Locality''s Allocation Percentage ]]</f>
        <v>36862.609409655219</v>
      </c>
      <c r="AA4" s="61">
        <f>($C$12+$D$12+$E$12+$F$12+$G$12+$H$12+$I$12+$J$12+$K$12)*Table53[[#This Row],[Locality''s Allocation Percentage ]]</f>
        <v>51663.215611446729</v>
      </c>
      <c r="AB4" s="61">
        <f>($C$13+$D$13+$E$13+$F$13+$G$13+$H$13+$I$13+$J$13+$K$13)*Table53[[#This Row],[Locality''s Allocation Percentage ]]</f>
        <v>51898.279910405123</v>
      </c>
      <c r="AC4" s="61">
        <f>($C$14+$D$14+$E$14+$F$14+$G$14+$H$14+$I$14+$J$14+$K$14)*Table53[[#This Row],[Locality''s Allocation Percentage ]]</f>
        <v>48591.992053452588</v>
      </c>
      <c r="AD4" s="61">
        <f>($C$15+$D$15+$E$15+$F$15+$G$15+$H$15+$I$15+$J$15+$K$15)*Table53[[#This Row],[Locality''s Allocation Percentage ]]</f>
        <v>45093.666148762444</v>
      </c>
      <c r="AE4" s="61">
        <f>($C$16+$D$16+$E$16+$F$16+$G$16+$H$16+$I$16+$J$16+$K$16)*Table53[[#This Row],[Locality''s Allocation Percentage ]]</f>
        <v>41455.735796662608</v>
      </c>
      <c r="AF4" s="61">
        <f>($C$17+$D$17+$E$17+$F$17+$G$17+$H$17+$I$17+$J$17+$K$17)*Table53[[#This Row],[Locality''s Allocation Percentage ]]</f>
        <v>31636.785265935487</v>
      </c>
      <c r="AG4" s="61">
        <f>($C$18+$D$18+$E$18+$F$18+$G$18+$H$18+$I$18+$J$18+$K$18)*Table53[[#This Row],[Locality''s Allocation Percentage ]]</f>
        <v>31636.785265935487</v>
      </c>
      <c r="AH4" s="61">
        <f>($C$19+$D$19+$E$19+$F$19+$G$19+$H$19+$I$19+$J$19+$K$19)*Table53[[#This Row],[Locality''s Allocation Percentage ]]</f>
        <v>31636.785265935487</v>
      </c>
      <c r="AI4" s="61">
        <f>($C$20+$D$20+$E$20+$F$20+$G$20+$H$20+$I$20+$J$20+$K$20)*Table53[[#This Row],[Locality''s Allocation Percentage ]]</f>
        <v>26285.577540749149</v>
      </c>
      <c r="AJ4" s="61">
        <f>($C$21+$D$21+$E$21+$F$21+$G$21+$H$21+$I$21+$J$21+$K$21)*Table53[[#This Row],[Locality''s Allocation Percentage ]]</f>
        <v>26285.577540749149</v>
      </c>
      <c r="AK4" s="61">
        <f>($C$22+$D$22+$E$22+$F$22+$G$22+$H$22+$I$22+$J$22+$K$22)*Table53[[#This Row],[Locality''s Allocation Percentage ]]</f>
        <v>18402.98358499142</v>
      </c>
      <c r="AL4" s="61"/>
      <c r="AM4" s="61"/>
      <c r="AN4" s="61">
        <f>$L$6*Table53[[#This Row],[Locality''s Allocation Percentage ]]</f>
        <v>32415.793409467733</v>
      </c>
      <c r="AO4" s="61">
        <f>$L$7*Table53[[#This Row],[Locality''s Allocation Percentage ]]</f>
        <v>37522.948539481462</v>
      </c>
      <c r="AP4" s="61">
        <f>$L$8*Table53[[#This Row],[Locality''s Allocation Percentage ]]</f>
        <v>14611.968342611217</v>
      </c>
      <c r="AQ4" s="61">
        <f>$L$9*Table53[[#This Row],[Locality''s Allocation Percentage ]]</f>
        <v>16031.635798940315</v>
      </c>
      <c r="AR4" s="61">
        <f>$L$10*Table53[[#This Row],[Locality''s Allocation Percentage ]]</f>
        <v>17079.337717631675</v>
      </c>
      <c r="AS4" s="61">
        <f>$L$11*Table53[[#This Row],[Locality''s Allocation Percentage ]]</f>
        <v>12854.513501671427</v>
      </c>
      <c r="AT4" s="61">
        <f>$L$12*Table53[[#This Row],[Locality''s Allocation Percentage ]]</f>
        <v>18281.402442328315</v>
      </c>
      <c r="AU4" s="61">
        <f>$L$13*Table53[[#This Row],[Locality''s Allocation Percentage ]]</f>
        <v>18391.123938656263</v>
      </c>
      <c r="AV4" s="61">
        <f>$L$14*Table53[[#This Row],[Locality''s Allocation Percentage ]]</f>
        <v>17104.099283695923</v>
      </c>
      <c r="AW4" s="61">
        <f>$L$15*Table53[[#This Row],[Locality''s Allocation Percentage ]]</f>
        <v>15821.753237588062</v>
      </c>
      <c r="AX4" s="61">
        <f>$L$16*Table53[[#This Row],[Locality''s Allocation Percentage ]]</f>
        <v>14487.845441818119</v>
      </c>
      <c r="AY4" s="61">
        <f>$L$17*Table53[[#This Row],[Locality''s Allocation Percentage ]]</f>
        <v>11311.126152465229</v>
      </c>
      <c r="AZ4" s="61">
        <f>$L$18*Table53[[#This Row],[Locality''s Allocation Percentage ]]</f>
        <v>11311.126152465229</v>
      </c>
      <c r="BA4" s="61">
        <f>$L$19*Table53[[#This Row],[Locality''s Allocation Percentage ]]</f>
        <v>11311.126152465229</v>
      </c>
      <c r="BB4" s="61">
        <f>$L$20*Table53[[#This Row],[Locality''s Allocation Percentage ]]</f>
        <v>9349.0166532302392</v>
      </c>
      <c r="BC4" s="61">
        <f>$L$21*Table53[[#This Row],[Locality''s Allocation Percentage ]]</f>
        <v>9349.0166532302392</v>
      </c>
      <c r="BD4" s="61">
        <f>$L$22*Table53[[#This Row],[Locality''s Allocation Percentage ]]</f>
        <v>6747.7606478301868</v>
      </c>
      <c r="BE4" s="61"/>
      <c r="BF4" s="61">
        <f>AM4*0.25</f>
        <v>0</v>
      </c>
      <c r="BG4" s="61">
        <f>AN4*0.25</f>
        <v>8103.9483523669332</v>
      </c>
      <c r="BH4" s="61">
        <f t="shared" ref="BH4:BW19" si="0">AO4*0.25</f>
        <v>9380.7371348703655</v>
      </c>
      <c r="BI4" s="61">
        <f t="shared" si="0"/>
        <v>3652.9920856528042</v>
      </c>
      <c r="BJ4" s="61">
        <f t="shared" si="0"/>
        <v>4007.9089497350787</v>
      </c>
      <c r="BK4" s="61">
        <f t="shared" si="0"/>
        <v>4269.8344294079188</v>
      </c>
      <c r="BL4" s="61">
        <f t="shared" si="0"/>
        <v>3213.6283754178567</v>
      </c>
      <c r="BM4" s="61">
        <f t="shared" si="0"/>
        <v>4570.3506105820788</v>
      </c>
      <c r="BN4" s="61">
        <f t="shared" si="0"/>
        <v>4597.7809846640657</v>
      </c>
      <c r="BO4" s="61">
        <f t="shared" si="0"/>
        <v>4276.0248209239808</v>
      </c>
      <c r="BP4" s="61">
        <f t="shared" si="0"/>
        <v>3955.4383093970155</v>
      </c>
      <c r="BQ4" s="61">
        <f t="shared" si="0"/>
        <v>3621.9613604545298</v>
      </c>
      <c r="BR4" s="61">
        <f t="shared" si="0"/>
        <v>2827.7815381163073</v>
      </c>
      <c r="BS4" s="61">
        <f t="shared" si="0"/>
        <v>2827.7815381163073</v>
      </c>
      <c r="BT4" s="61">
        <f t="shared" si="0"/>
        <v>2827.7815381163073</v>
      </c>
      <c r="BU4" s="61">
        <f t="shared" si="0"/>
        <v>2337.2541633075598</v>
      </c>
      <c r="BV4" s="61">
        <f t="shared" si="0"/>
        <v>2337.2541633075598</v>
      </c>
      <c r="BW4" s="61">
        <f t="shared" si="0"/>
        <v>1686.9401619575467</v>
      </c>
      <c r="BX4" s="61"/>
      <c r="BY4" s="61">
        <f>($C$6+$D$6+$E$6)*Table53[[#This Row],[Locality''s Allocation Percentage ]]</f>
        <v>89582.895913754997</v>
      </c>
      <c r="BZ4" s="61">
        <f>$L$6*Table53[[#This Row],[Locality''s Allocation Percentage ]]</f>
        <v>32415.793409467733</v>
      </c>
      <c r="CA4" s="61">
        <f>BZ4*0.25</f>
        <v>8103.9483523669332</v>
      </c>
      <c r="CB4" s="76">
        <f>($C$7+$D$7+$E$7)*Table53[[#This Row],[Locality''s Allocation Percentage ]]</f>
        <v>32307.07583676045</v>
      </c>
      <c r="CC4" s="76">
        <f>$L$7*Table53[[#This Row],[Locality''s Allocation Percentage ]]</f>
        <v>37522.948539481462</v>
      </c>
      <c r="CD4" s="76">
        <f>CC4*0.25</f>
        <v>9380.7371348703655</v>
      </c>
    </row>
    <row r="5" spans="2:82" s="19" customFormat="1" ht="18" customHeight="1" x14ac:dyDescent="0.25">
      <c r="B5" s="24" t="s">
        <v>55</v>
      </c>
      <c r="C5" s="25">
        <f>C34*0.225</f>
        <v>4066309.1845544642</v>
      </c>
      <c r="D5" s="25">
        <v>0</v>
      </c>
      <c r="E5" s="25">
        <v>0</v>
      </c>
      <c r="F5" s="25">
        <f t="shared" ref="F5:H6" si="1">F34*0.225</f>
        <v>0</v>
      </c>
      <c r="G5" s="25">
        <f t="shared" si="1"/>
        <v>0</v>
      </c>
      <c r="H5" s="25">
        <f t="shared" si="1"/>
        <v>0</v>
      </c>
      <c r="I5" s="25">
        <f>I34*0.255</f>
        <v>0</v>
      </c>
      <c r="J5" s="25">
        <f>J34*0.25</f>
        <v>0</v>
      </c>
      <c r="K5" s="25">
        <f>K34*0.3</f>
        <v>0</v>
      </c>
      <c r="L5" s="26">
        <v>0</v>
      </c>
      <c r="M5" s="27">
        <f t="shared" ref="M5:M22" si="2">SUM(C5:L5)</f>
        <v>4066309.1845544642</v>
      </c>
      <c r="N5" s="35">
        <f>L7*1.25</f>
        <v>13477935.815372165</v>
      </c>
      <c r="P5" s="28" t="s">
        <v>217</v>
      </c>
      <c r="Q5" s="29">
        <v>8.6300863008630102E-3</v>
      </c>
      <c r="S5" s="30" t="s">
        <v>54</v>
      </c>
      <c r="T5" s="61">
        <f>($C$5+$D$5+$E$5+$F$5+$G$5+$H$5+$I$5+$J$5+$K$5)*Table53[[#This Row],[Locality''s Allocation Percentage ]]</f>
        <v>35092.59918869692</v>
      </c>
      <c r="U5" s="61">
        <f>($C$6+$D$6+$E$6+$F$6+$G$6+$H$6+$I$6+$J$6+$K$6)*Table53[[#This Row],[Locality''s Allocation Percentage ]]</f>
        <v>222155.28498152486</v>
      </c>
      <c r="V5" s="61">
        <f>($C$7+$D$7+$E$7+$F$7+$G$7+$H$7+$I$7+$J$7+$K$7)*Table53[[#This Row],[Locality''s Allocation Percentage ]]</f>
        <v>273974.31143961695</v>
      </c>
      <c r="W5" s="61">
        <f>($C$8+$D$8+$E$8+$F$8+$G$8+$H$8+$I$8+$J$8+$K$8)*Table53[[#This Row],[Locality''s Allocation Percentage ]]</f>
        <v>105068.54191245972</v>
      </c>
      <c r="X5" s="61">
        <f>($C$9+$D$9+$E$9+$F$9+$G$9+$H$9+$I$9+$J$9+$K$9)*Table53[[#This Row],[Locality''s Allocation Percentage ]]</f>
        <v>112902.93819282888</v>
      </c>
      <c r="Y5" s="61">
        <f>($C$10+$D$10+$E$10+$F$10+$G$10+$H$10+$I$10+$J$10+$K$10)*Table53[[#This Row],[Locality''s Allocation Percentage ]]</f>
        <v>119988.88455513799</v>
      </c>
      <c r="Z5" s="61">
        <f>($C$11+$D$11+$E$11+$F$11+$G$11+$H$11+$I$11+$J$11+$K$11)*Table53[[#This Row],[Locality''s Allocation Percentage ]]</f>
        <v>91415.034254403698</v>
      </c>
      <c r="AA5" s="61">
        <f>($C$12+$D$12+$E$12+$F$12+$G$12+$H$12+$I$12+$J$12+$K$12)*Table53[[#This Row],[Locality''s Allocation Percentage ]]</f>
        <v>128118.83641574305</v>
      </c>
      <c r="AB5" s="61">
        <f>($C$13+$D$13+$E$13+$F$13+$G$13+$H$13+$I$13+$J$13+$K$13)*Table53[[#This Row],[Locality''s Allocation Percentage ]]</f>
        <v>128701.76885827493</v>
      </c>
      <c r="AC5" s="61">
        <f>($C$14+$D$14+$E$14+$F$14+$G$14+$H$14+$I$14+$J$14+$K$14)*Table53[[#This Row],[Locality''s Allocation Percentage ]]</f>
        <v>120502.55500611963</v>
      </c>
      <c r="AD5" s="61">
        <f>($C$15+$D$15+$E$15+$F$15+$G$15+$H$15+$I$15+$J$15+$K$15)*Table53[[#This Row],[Locality''s Allocation Percentage ]]</f>
        <v>111827.1088689139</v>
      </c>
      <c r="AE5" s="61">
        <f>($C$16+$D$16+$E$16+$F$16+$G$16+$H$16+$I$16+$J$16+$K$16)*Table53[[#This Row],[Locality''s Allocation Percentage ]]</f>
        <v>102805.45974862031</v>
      </c>
      <c r="AF5" s="61">
        <f>($C$17+$D$17+$E$17+$F$17+$G$17+$H$17+$I$17+$J$17+$K$17)*Table53[[#This Row],[Locality''s Allocation Percentage ]]</f>
        <v>78455.591047420559</v>
      </c>
      <c r="AG5" s="61">
        <f>($C$18+$D$18+$E$18+$F$18+$G$18+$H$18+$I$18+$J$18+$K$18)*Table53[[#This Row],[Locality''s Allocation Percentage ]]</f>
        <v>78455.591047420559</v>
      </c>
      <c r="AH5" s="61">
        <f>($C$19+$D$19+$E$19+$F$19+$G$19+$H$19+$I$19+$J$19+$K$19)*Table53[[#This Row],[Locality''s Allocation Percentage ]]</f>
        <v>78455.591047420559</v>
      </c>
      <c r="AI5" s="61">
        <f>($C$20+$D$20+$E$20+$F$20+$G$20+$H$20+$I$20+$J$20+$K$20)*Table53[[#This Row],[Locality''s Allocation Percentage ]]</f>
        <v>65185.210970306158</v>
      </c>
      <c r="AJ5" s="61">
        <f>($C$21+$D$21+$E$21+$F$21+$G$21+$H$21+$I$21+$J$21+$K$21)*Table53[[#This Row],[Locality''s Allocation Percentage ]]</f>
        <v>65185.210970306158</v>
      </c>
      <c r="AK5" s="61">
        <f>($C$22+$D$22+$E$22+$F$22+$G$22+$H$22+$I$22+$J$22+$K$22)*Table53[[#This Row],[Locality''s Allocation Percentage ]]</f>
        <v>45637.284005309237</v>
      </c>
      <c r="AL5" s="61"/>
      <c r="AM5" s="61"/>
      <c r="AN5" s="61">
        <f>$L$6*Table53[[#This Row],[Locality''s Allocation Percentage ]]</f>
        <v>80387.441702214623</v>
      </c>
      <c r="AO5" s="61">
        <f>$L$7*Table53[[#This Row],[Locality''s Allocation Percentage ]]</f>
        <v>93052.599395323399</v>
      </c>
      <c r="AP5" s="61">
        <f>$L$8*Table53[[#This Row],[Locality''s Allocation Percentage ]]</f>
        <v>36236.001953084757</v>
      </c>
      <c r="AQ5" s="61">
        <f>$L$9*Table53[[#This Row],[Locality''s Allocation Percentage ]]</f>
        <v>39756.614064613532</v>
      </c>
      <c r="AR5" s="61">
        <f>$L$10*Table53[[#This Row],[Locality''s Allocation Percentage ]]</f>
        <v>42354.794397460209</v>
      </c>
      <c r="AS5" s="61">
        <f>$L$11*Table53[[#This Row],[Locality''s Allocation Percentage ]]</f>
        <v>31877.715953857627</v>
      </c>
      <c r="AT5" s="61">
        <f>$L$12*Table53[[#This Row],[Locality''s Allocation Percentage ]]</f>
        <v>45335.776746348725</v>
      </c>
      <c r="AU5" s="61">
        <f>$L$13*Table53[[#This Row],[Locality''s Allocation Percentage ]]</f>
        <v>45607.87344557578</v>
      </c>
      <c r="AV5" s="61">
        <f>$L$14*Table53[[#This Row],[Locality''s Allocation Percentage ]]</f>
        <v>42416.200235142525</v>
      </c>
      <c r="AW5" s="61">
        <f>$L$15*Table53[[#This Row],[Locality''s Allocation Percentage ]]</f>
        <v>39236.129436892283</v>
      </c>
      <c r="AX5" s="61">
        <f>$L$16*Table53[[#This Row],[Locality''s Allocation Percentage ]]</f>
        <v>35928.191426117963</v>
      </c>
      <c r="AY5" s="61">
        <f>$L$17*Table53[[#This Row],[Locality''s Allocation Percentage ]]</f>
        <v>28050.292728670989</v>
      </c>
      <c r="AZ5" s="61">
        <f>$L$18*Table53[[#This Row],[Locality''s Allocation Percentage ]]</f>
        <v>28050.292728670989</v>
      </c>
      <c r="BA5" s="61">
        <f>$L$19*Table53[[#This Row],[Locality''s Allocation Percentage ]]</f>
        <v>28050.292728670989</v>
      </c>
      <c r="BB5" s="61">
        <f>$L$20*Table53[[#This Row],[Locality''s Allocation Percentage ]]</f>
        <v>23184.486700395704</v>
      </c>
      <c r="BC5" s="61">
        <f>$L$21*Table53[[#This Row],[Locality''s Allocation Percentage ]]</f>
        <v>23184.486700395704</v>
      </c>
      <c r="BD5" s="61">
        <f>$L$22*Table53[[#This Row],[Locality''s Allocation Percentage ]]</f>
        <v>16733.670801946719</v>
      </c>
      <c r="BE5" s="61"/>
      <c r="BF5" s="61">
        <f t="shared" ref="BF5:BG68" si="3">AM5*0.25</f>
        <v>0</v>
      </c>
      <c r="BG5" s="61">
        <f t="shared" si="3"/>
        <v>20096.860425553656</v>
      </c>
      <c r="BH5" s="61">
        <f t="shared" si="0"/>
        <v>23263.14984883085</v>
      </c>
      <c r="BI5" s="61">
        <f t="shared" si="0"/>
        <v>9059.0004882711892</v>
      </c>
      <c r="BJ5" s="61">
        <f t="shared" si="0"/>
        <v>9939.153516153383</v>
      </c>
      <c r="BK5" s="61">
        <f t="shared" si="0"/>
        <v>10588.698599365052</v>
      </c>
      <c r="BL5" s="61">
        <f t="shared" si="0"/>
        <v>7969.4289884644068</v>
      </c>
      <c r="BM5" s="61">
        <f t="shared" si="0"/>
        <v>11333.944186587181</v>
      </c>
      <c r="BN5" s="61">
        <f t="shared" si="0"/>
        <v>11401.968361393945</v>
      </c>
      <c r="BO5" s="61">
        <f t="shared" si="0"/>
        <v>10604.050058785631</v>
      </c>
      <c r="BP5" s="61">
        <f t="shared" si="0"/>
        <v>9809.0323592230707</v>
      </c>
      <c r="BQ5" s="61">
        <f t="shared" si="0"/>
        <v>8982.0478565294907</v>
      </c>
      <c r="BR5" s="61">
        <f t="shared" si="0"/>
        <v>7012.5731821677473</v>
      </c>
      <c r="BS5" s="61">
        <f t="shared" si="0"/>
        <v>7012.5731821677473</v>
      </c>
      <c r="BT5" s="61">
        <f t="shared" si="0"/>
        <v>7012.5731821677473</v>
      </c>
      <c r="BU5" s="61">
        <f t="shared" si="0"/>
        <v>5796.1216750989261</v>
      </c>
      <c r="BV5" s="61">
        <f t="shared" si="0"/>
        <v>5796.1216750989261</v>
      </c>
      <c r="BW5" s="61">
        <f t="shared" si="0"/>
        <v>4183.4177004866797</v>
      </c>
      <c r="BX5" s="61"/>
      <c r="BY5" s="61">
        <f>($C$6+$D$6+$E$6)*Table53[[#This Row],[Locality''s Allocation Percentage ]]</f>
        <v>222155.28498152486</v>
      </c>
      <c r="BZ5" s="61">
        <f>$L$6*Table53[[#This Row],[Locality''s Allocation Percentage ]]</f>
        <v>80387.441702214623</v>
      </c>
      <c r="CA5" s="61">
        <f t="shared" ref="CA5:CA68" si="4">BZ5*0.25</f>
        <v>20096.860425553656</v>
      </c>
      <c r="CB5" s="76">
        <f>($C$7+$D$7+$E$7)*Table53[[#This Row],[Locality''s Allocation Percentage ]]</f>
        <v>80117.834618173278</v>
      </c>
      <c r="CC5" s="76">
        <f>$L$7*Table53[[#This Row],[Locality''s Allocation Percentage ]]</f>
        <v>93052.599395323399</v>
      </c>
      <c r="CD5" s="76">
        <f t="shared" ref="CD5:CD68" si="5">CC5*0.25</f>
        <v>23263.14984883085</v>
      </c>
    </row>
    <row r="6" spans="2:82" s="19" customFormat="1" ht="18" customHeight="1" x14ac:dyDescent="0.25">
      <c r="B6" s="31" t="s">
        <v>57</v>
      </c>
      <c r="C6" s="32">
        <f>C35*0.225+2779933.96</f>
        <v>7053426.6779029062</v>
      </c>
      <c r="D6" s="32">
        <f>D35*0.225+1362713.3</f>
        <v>17641954.549452249</v>
      </c>
      <c r="E6" s="32">
        <v>1046572.82</v>
      </c>
      <c r="F6" s="32">
        <f t="shared" si="1"/>
        <v>0</v>
      </c>
      <c r="G6" s="32">
        <f t="shared" si="1"/>
        <v>0</v>
      </c>
      <c r="H6" s="32">
        <f t="shared" si="1"/>
        <v>0</v>
      </c>
      <c r="I6" s="25">
        <f t="shared" ref="I6:I22" si="6">I35*0.255</f>
        <v>0</v>
      </c>
      <c r="J6" s="25">
        <f t="shared" ref="J6:J22" si="7">J35*0.25</f>
        <v>0</v>
      </c>
      <c r="K6" s="25">
        <f>K35*0.3</f>
        <v>0</v>
      </c>
      <c r="L6" s="33">
        <f>SUM(L34,L35)*0.0825</f>
        <v>9314790.0148085263</v>
      </c>
      <c r="M6" s="34">
        <f t="shared" si="2"/>
        <v>35056744.062163681</v>
      </c>
      <c r="N6" s="35"/>
      <c r="O6" s="35"/>
      <c r="P6" s="36" t="s">
        <v>56</v>
      </c>
      <c r="Q6" s="37">
        <v>1.1620116201162E-2</v>
      </c>
      <c r="S6" s="22" t="s">
        <v>56</v>
      </c>
      <c r="T6" s="61">
        <f>($C$5+$D$5+$E$5+$F$5+$G$5+$H$5+$I$5+$J$5+$K$5)*Table53[[#This Row],[Locality''s Allocation Percentage ]]</f>
        <v>47250.98523437517</v>
      </c>
      <c r="U6" s="61">
        <f>($C$6+$D$6+$E$6+$F$6+$G$6+$H$6+$I$6+$J$6+$K$6)*Table53[[#This Row],[Locality''s Allocation Percentage ]]</f>
        <v>299124.49727523938</v>
      </c>
      <c r="V6" s="61">
        <f>($C$7+$D$7+$E$7+$F$7+$G$7+$H$7+$I$7+$J$7+$K$7)*Table53[[#This Row],[Locality''s Allocation Percentage ]]</f>
        <v>368897.04506701563</v>
      </c>
      <c r="W6" s="61">
        <f>($C$8+$D$8+$E$8+$F$8+$G$8+$H$8+$I$8+$J$8+$K$8)*Table53[[#This Row],[Locality''s Allocation Percentage ]]</f>
        <v>141471.20011851456</v>
      </c>
      <c r="X6" s="61">
        <f>($C$9+$D$9+$E$9+$F$9+$G$9+$H$9+$I$9+$J$9+$K$9)*Table53[[#This Row],[Locality''s Allocation Percentage ]]</f>
        <v>152019.946906219</v>
      </c>
      <c r="Y6" s="61">
        <f>($C$10+$D$10+$E$10+$F$10+$G$10+$H$10+$I$10+$J$10+$K$10)*Table53[[#This Row],[Locality''s Allocation Percentage ]]</f>
        <v>161560.93146358075</v>
      </c>
      <c r="Z6" s="61">
        <f>($C$11+$D$11+$E$11+$F$11+$G$11+$H$11+$I$11+$J$11+$K$11)*Table53[[#This Row],[Locality''s Allocation Percentage ]]</f>
        <v>123087.2187759177</v>
      </c>
      <c r="AA6" s="61">
        <f>($C$12+$D$12+$E$12+$F$12+$G$12+$H$12+$I$12+$J$12+$K$12)*Table53[[#This Row],[Locality''s Allocation Percentage ]]</f>
        <v>172507.63373707212</v>
      </c>
      <c r="AB6" s="61">
        <f>($C$13+$D$13+$E$13+$F$13+$G$13+$H$13+$I$13+$J$13+$K$13)*Table53[[#This Row],[Locality''s Allocation Percentage ]]</f>
        <v>173292.53234451366</v>
      </c>
      <c r="AC6" s="61">
        <f>($C$14+$D$14+$E$14+$F$14+$G$14+$H$14+$I$14+$J$14+$K$14)*Table53[[#This Row],[Locality''s Allocation Percentage ]]</f>
        <v>162252.57116698823</v>
      </c>
      <c r="AD6" s="61">
        <f>($C$15+$D$15+$E$15+$F$15+$G$15+$H$15+$I$15+$J$15+$K$15)*Table53[[#This Row],[Locality''s Allocation Percentage ]]</f>
        <v>150571.37949672979</v>
      </c>
      <c r="AE6" s="61">
        <f>($C$16+$D$16+$E$16+$F$16+$G$16+$H$16+$I$16+$J$16+$K$16)*Table53[[#This Row],[Locality''s Allocation Percentage ]]</f>
        <v>138424.03734402859</v>
      </c>
      <c r="AF6" s="61">
        <f>($C$17+$D$17+$E$17+$F$17+$G$17+$H$17+$I$17+$J$17+$K$17)*Table53[[#This Row],[Locality''s Allocation Percentage ]]</f>
        <v>105637.77149142826</v>
      </c>
      <c r="AG6" s="61">
        <f>($C$18+$D$18+$E$18+$F$18+$G$18+$H$18+$I$18+$J$18+$K$18)*Table53[[#This Row],[Locality''s Allocation Percentage ]]</f>
        <v>105637.77149142826</v>
      </c>
      <c r="AH6" s="61">
        <f>($C$19+$D$19+$E$19+$F$19+$G$19+$H$19+$I$19+$J$19+$K$19)*Table53[[#This Row],[Locality''s Allocation Percentage ]]</f>
        <v>105637.77149142826</v>
      </c>
      <c r="AI6" s="61">
        <f>($C$20+$D$20+$E$20+$F$20+$G$20+$H$20+$I$20+$J$20+$K$20)*Table53[[#This Row],[Locality''s Allocation Percentage ]]</f>
        <v>87769.65834008767</v>
      </c>
      <c r="AJ6" s="61">
        <f>($C$21+$D$21+$E$21+$F$21+$G$21+$H$21+$I$21+$J$21+$K$21)*Table53[[#This Row],[Locality''s Allocation Percentage ]]</f>
        <v>87769.65834008767</v>
      </c>
      <c r="AK6" s="61">
        <f>($C$22+$D$22+$E$22+$F$22+$G$22+$H$22+$I$22+$J$22+$K$22)*Table53[[#This Row],[Locality''s Allocation Percentage ]]</f>
        <v>61449.04289011503</v>
      </c>
      <c r="AL6" s="61"/>
      <c r="AM6" s="61"/>
      <c r="AN6" s="61">
        <f>$L$6*Table53[[#This Row],[Locality''s Allocation Percentage ]]</f>
        <v>108238.94236149859</v>
      </c>
      <c r="AO6" s="61">
        <f>$L$7*Table53[[#This Row],[Locality''s Allocation Percentage ]]</f>
        <v>125292.14426114212</v>
      </c>
      <c r="AP6" s="61">
        <f>$L$8*Table53[[#This Row],[Locality''s Allocation Percentage ]]</f>
        <v>48790.537971592625</v>
      </c>
      <c r="AQ6" s="61">
        <f>$L$9*Table53[[#This Row],[Locality''s Allocation Percentage ]]</f>
        <v>53530.921834392662</v>
      </c>
      <c r="AR6" s="61">
        <f>$L$10*Table53[[#This Row],[Locality''s Allocation Percentage ]]</f>
        <v>57029.282838758634</v>
      </c>
      <c r="AS6" s="61">
        <f>$L$11*Table53[[#This Row],[Locality''s Allocation Percentage ]]</f>
        <v>42922.254853282175</v>
      </c>
      <c r="AT6" s="61">
        <f>$L$12*Table53[[#This Row],[Locality''s Allocation Percentage ]]</f>
        <v>61043.073672372135</v>
      </c>
      <c r="AU6" s="61">
        <f>$L$13*Table53[[#This Row],[Locality''s Allocation Percentage ]]</f>
        <v>61409.442576777517</v>
      </c>
      <c r="AV6" s="61">
        <f>$L$14*Table53[[#This Row],[Locality''s Allocation Percentage ]]</f>
        <v>57111.963700157081</v>
      </c>
      <c r="AW6" s="61">
        <f>$L$15*Table53[[#This Row],[Locality''s Allocation Percentage ]]</f>
        <v>52830.107074934851</v>
      </c>
      <c r="AX6" s="61">
        <f>$L$16*Table53[[#This Row],[Locality''s Allocation Percentage ]]</f>
        <v>48376.081618944409</v>
      </c>
      <c r="AY6" s="61">
        <f>$L$17*Table53[[#This Row],[Locality''s Allocation Percentage ]]</f>
        <v>37768.760313691368</v>
      </c>
      <c r="AZ6" s="61">
        <f>$L$18*Table53[[#This Row],[Locality''s Allocation Percentage ]]</f>
        <v>37768.760313691368</v>
      </c>
      <c r="BA6" s="61">
        <f>$L$19*Table53[[#This Row],[Locality''s Allocation Percentage ]]</f>
        <v>37768.760313691368</v>
      </c>
      <c r="BB6" s="61">
        <f>$L$20*Table53[[#This Row],[Locality''s Allocation Percentage ]]</f>
        <v>31217.118824866488</v>
      </c>
      <c r="BC6" s="61">
        <f>$L$21*Table53[[#This Row],[Locality''s Allocation Percentage ]]</f>
        <v>31217.118824866488</v>
      </c>
      <c r="BD6" s="61">
        <f>$L$22*Table53[[#This Row],[Locality''s Allocation Percentage ]]</f>
        <v>22531.315726375509</v>
      </c>
      <c r="BE6" s="61"/>
      <c r="BF6" s="61">
        <f t="shared" si="3"/>
        <v>0</v>
      </c>
      <c r="BG6" s="61">
        <f t="shared" si="3"/>
        <v>27059.735590374647</v>
      </c>
      <c r="BH6" s="61">
        <f t="shared" si="0"/>
        <v>31323.036065285531</v>
      </c>
      <c r="BI6" s="61">
        <f t="shared" si="0"/>
        <v>12197.634492898156</v>
      </c>
      <c r="BJ6" s="61">
        <f t="shared" si="0"/>
        <v>13382.730458598166</v>
      </c>
      <c r="BK6" s="61">
        <f t="shared" si="0"/>
        <v>14257.320709689659</v>
      </c>
      <c r="BL6" s="61">
        <f t="shared" si="0"/>
        <v>10730.563713320544</v>
      </c>
      <c r="BM6" s="61">
        <f t="shared" si="0"/>
        <v>15260.768418093034</v>
      </c>
      <c r="BN6" s="61">
        <f t="shared" si="0"/>
        <v>15352.360644194379</v>
      </c>
      <c r="BO6" s="61">
        <f t="shared" si="0"/>
        <v>14277.99092503927</v>
      </c>
      <c r="BP6" s="61">
        <f t="shared" si="0"/>
        <v>13207.526768733713</v>
      </c>
      <c r="BQ6" s="61">
        <f t="shared" si="0"/>
        <v>12094.020404736102</v>
      </c>
      <c r="BR6" s="61">
        <f t="shared" si="0"/>
        <v>9442.1900784228419</v>
      </c>
      <c r="BS6" s="61">
        <f t="shared" si="0"/>
        <v>9442.1900784228419</v>
      </c>
      <c r="BT6" s="61">
        <f t="shared" si="0"/>
        <v>9442.1900784228419</v>
      </c>
      <c r="BU6" s="61">
        <f t="shared" si="0"/>
        <v>7804.2797062166219</v>
      </c>
      <c r="BV6" s="61">
        <f t="shared" si="0"/>
        <v>7804.2797062166219</v>
      </c>
      <c r="BW6" s="61">
        <f t="shared" si="0"/>
        <v>5632.8289315938773</v>
      </c>
      <c r="BX6" s="61"/>
      <c r="BY6" s="61">
        <f>($C$6+$D$6+$E$6)*Table53[[#This Row],[Locality''s Allocation Percentage ]]</f>
        <v>299124.49727523938</v>
      </c>
      <c r="BZ6" s="61">
        <f>$L$6*Table53[[#This Row],[Locality''s Allocation Percentage ]]</f>
        <v>108238.94236149859</v>
      </c>
      <c r="CA6" s="61">
        <f t="shared" si="4"/>
        <v>27059.735590374647</v>
      </c>
      <c r="CB6" s="76">
        <f>($C$7+$D$7+$E$7)*Table53[[#This Row],[Locality''s Allocation Percentage ]]</f>
        <v>107875.92563883806</v>
      </c>
      <c r="CC6" s="76">
        <f>$L$7*Table53[[#This Row],[Locality''s Allocation Percentage ]]</f>
        <v>125292.14426114212</v>
      </c>
      <c r="CD6" s="76">
        <f t="shared" si="5"/>
        <v>31323.036065285531</v>
      </c>
    </row>
    <row r="7" spans="2:82" s="19" customFormat="1" ht="18" customHeight="1" x14ac:dyDescent="0.25">
      <c r="B7" s="129" t="s">
        <v>59</v>
      </c>
      <c r="C7" s="128">
        <f>C36*0.225+1424497.57</f>
        <v>8052287.5034029065</v>
      </c>
      <c r="D7" s="32">
        <f t="shared" ref="C7:D21" si="8">D36*0.225</f>
        <v>0</v>
      </c>
      <c r="E7" s="32">
        <v>1231262.142</v>
      </c>
      <c r="F7" s="32">
        <f t="shared" ref="F7" si="9">F36*0.225</f>
        <v>1411912.9063636365</v>
      </c>
      <c r="G7" s="32">
        <f t="shared" ref="G7:H7" si="10">G36*0.225</f>
        <v>1562275.0922727271</v>
      </c>
      <c r="H7" s="32">
        <f t="shared" si="10"/>
        <v>13759218.130909091</v>
      </c>
      <c r="I7" s="25">
        <f t="shared" si="6"/>
        <v>1969258.7623636364</v>
      </c>
      <c r="J7" s="25">
        <f>J36*0.25</f>
        <v>3760201.6499999994</v>
      </c>
      <c r="K7" s="25">
        <f>K36*0.3</f>
        <v>0</v>
      </c>
      <c r="L7" s="32">
        <f>L36*0.0825</f>
        <v>10782348.652297731</v>
      </c>
      <c r="M7" s="34">
        <f t="shared" si="2"/>
        <v>42528764.839609727</v>
      </c>
      <c r="N7" s="19">
        <v>4273492.7179029062</v>
      </c>
      <c r="P7" s="28" t="s">
        <v>218</v>
      </c>
      <c r="Q7" s="29">
        <v>2.130021300213E-3</v>
      </c>
      <c r="S7" s="30" t="s">
        <v>58</v>
      </c>
      <c r="T7" s="61">
        <f>($C$5+$D$5+$E$5+$F$5+$G$5+$H$5+$I$5+$J$5+$K$5)*Table53[[#This Row],[Locality''s Allocation Percentage ]]</f>
        <v>8661.3251763527642</v>
      </c>
      <c r="U7" s="61">
        <f>($C$6+$D$6+$E$6+$F$6+$G$6+$H$6+$I$6+$J$6+$K$6)*Table53[[#This Row],[Locality''s Allocation Percentage ]]</f>
        <v>54830.910429970732</v>
      </c>
      <c r="V7" s="61">
        <f>($C$7+$D$7+$E$7+$F$7+$G$7+$H$7+$I$7+$J$7+$K$7)*Table53[[#This Row],[Locality''s Allocation Percentage ]]</f>
        <v>67620.542684401327</v>
      </c>
      <c r="W7" s="61">
        <f>($C$8+$D$8+$E$8+$F$8+$G$8+$H$8+$I$8+$J$8+$K$8)*Table53[[#This Row],[Locality''s Allocation Percentage ]]</f>
        <v>25932.3284210358</v>
      </c>
      <c r="X7" s="61">
        <f>($C$9+$D$9+$E$9+$F$9+$G$9+$H$9+$I$9+$J$9+$K$9)*Table53[[#This Row],[Locality''s Allocation Percentage ]]</f>
        <v>27865.962728936876</v>
      </c>
      <c r="Y7" s="61">
        <f>($C$10+$D$10+$E$10+$F$10+$G$10+$H$10+$I$10+$J$10+$K$10)*Table53[[#This Row],[Locality''s Allocation Percentage ]]</f>
        <v>29614.869536783735</v>
      </c>
      <c r="Z7" s="61">
        <f>($C$11+$D$11+$E$11+$F$11+$G$11+$H$11+$I$11+$J$11+$K$11)*Table53[[#This Row],[Locality''s Allocation Percentage ]]</f>
        <v>22562.459207633798</v>
      </c>
      <c r="AA7" s="61">
        <f>($C$12+$D$12+$E$12+$F$12+$G$12+$H$12+$I$12+$J$12+$K$12)*Table53[[#This Row],[Locality''s Allocation Percentage ]]</f>
        <v>31621.450934592394</v>
      </c>
      <c r="AB7" s="61">
        <f>($C$13+$D$13+$E$13+$F$13+$G$13+$H$13+$I$13+$J$13+$K$13)*Table53[[#This Row],[Locality''s Allocation Percentage ]]</f>
        <v>31765.326496885897</v>
      </c>
      <c r="AC7" s="61">
        <f>($C$14+$D$14+$E$14+$F$14+$G$14+$H$14+$I$14+$J$14+$K$14)*Table53[[#This Row],[Locality''s Allocation Percentage ]]</f>
        <v>29741.650308578737</v>
      </c>
      <c r="AD7" s="61">
        <f>($C$15+$D$15+$E$15+$F$15+$G$15+$H$15+$I$15+$J$15+$K$15)*Table53[[#This Row],[Locality''s Allocation Percentage ]]</f>
        <v>27600.433591052875</v>
      </c>
      <c r="AE7" s="61">
        <f>($C$16+$D$16+$E$16+$F$16+$G$16+$H$16+$I$16+$J$16+$K$16)*Table53[[#This Row],[Locality''s Allocation Percentage ]]</f>
        <v>25373.769323819353</v>
      </c>
      <c r="AF7" s="61">
        <f>($C$17+$D$17+$E$17+$F$17+$G$17+$H$17+$I$17+$J$17+$K$17)*Table53[[#This Row],[Locality''s Allocation Percentage ]]</f>
        <v>19363.894430012238</v>
      </c>
      <c r="AG7" s="61">
        <f>($C$18+$D$18+$E$18+$F$18+$G$18+$H$18+$I$18+$J$18+$K$18)*Table53[[#This Row],[Locality''s Allocation Percentage ]]</f>
        <v>19363.894430012238</v>
      </c>
      <c r="AH7" s="61">
        <f>($C$19+$D$19+$E$19+$F$19+$G$19+$H$19+$I$19+$J$19+$K$19)*Table53[[#This Row],[Locality''s Allocation Percentage ]]</f>
        <v>19363.894430012238</v>
      </c>
      <c r="AI7" s="61">
        <f>($C$20+$D$20+$E$20+$F$20+$G$20+$H$20+$I$20+$J$20+$K$20)*Table53[[#This Row],[Locality''s Allocation Percentage ]]</f>
        <v>16088.586253389565</v>
      </c>
      <c r="AJ7" s="61">
        <f>($C$21+$D$21+$E$21+$F$21+$G$21+$H$21+$I$21+$J$21+$K$21)*Table53[[#This Row],[Locality''s Allocation Percentage ]]</f>
        <v>16088.586253389565</v>
      </c>
      <c r="AK7" s="61">
        <f>($C$22+$D$22+$E$22+$F$22+$G$22+$H$22+$I$22+$J$22+$K$22)*Table53[[#This Row],[Locality''s Allocation Percentage ]]</f>
        <v>11263.895125296473</v>
      </c>
      <c r="AL7" s="61"/>
      <c r="AM7" s="61"/>
      <c r="AN7" s="61">
        <f>$L$6*Table53[[#This Row],[Locality''s Allocation Percentage ]]</f>
        <v>19840.701138553526</v>
      </c>
      <c r="AO7" s="61">
        <f>$L$7*Table53[[#This Row],[Locality''s Allocation Percentage ]]</f>
        <v>22966.632295717103</v>
      </c>
      <c r="AP7" s="61">
        <f>$L$8*Table53[[#This Row],[Locality''s Allocation Percentage ]]</f>
        <v>8943.5323476327285</v>
      </c>
      <c r="AQ7" s="61">
        <f>$L$9*Table53[[#This Row],[Locality''s Allocation Percentage ]]</f>
        <v>9812.4667390065733</v>
      </c>
      <c r="AR7" s="61">
        <f>$L$10*Table53[[#This Row],[Locality''s Allocation Percentage ]]</f>
        <v>10453.732568550422</v>
      </c>
      <c r="AS7" s="61">
        <f>$L$11*Table53[[#This Row],[Locality''s Allocation Percentage ]]</f>
        <v>7867.8487811954419</v>
      </c>
      <c r="AT7" s="61">
        <f>$L$12*Table53[[#This Row],[Locality''s Allocation Percentage ]]</f>
        <v>11189.479081080262</v>
      </c>
      <c r="AU7" s="61">
        <f>$L$13*Table53[[#This Row],[Locality''s Allocation Percentage ]]</f>
        <v>11256.636203832712</v>
      </c>
      <c r="AV7" s="61">
        <f>$L$14*Table53[[#This Row],[Locality''s Allocation Percentage ]]</f>
        <v>10468.888354675953</v>
      </c>
      <c r="AW7" s="61">
        <f>$L$15*Table53[[#This Row],[Locality''s Allocation Percentage ]]</f>
        <v>9684.0041367995891</v>
      </c>
      <c r="AX7" s="61">
        <f>$L$16*Table53[[#This Row],[Locality''s Allocation Percentage ]]</f>
        <v>8867.5605721472966</v>
      </c>
      <c r="AY7" s="61">
        <f>$L$17*Table53[[#This Row],[Locality''s Allocation Percentage ]]</f>
        <v>6923.1892829744074</v>
      </c>
      <c r="AZ7" s="61">
        <f>$L$18*Table53[[#This Row],[Locality''s Allocation Percentage ]]</f>
        <v>6923.1892829744074</v>
      </c>
      <c r="BA7" s="61">
        <f>$L$19*Table53[[#This Row],[Locality''s Allocation Percentage ]]</f>
        <v>6923.1892829744074</v>
      </c>
      <c r="BB7" s="61">
        <f>$L$20*Table53[[#This Row],[Locality''s Allocation Percentage ]]</f>
        <v>5722.2429515460944</v>
      </c>
      <c r="BC7" s="61">
        <f>$L$21*Table53[[#This Row],[Locality''s Allocation Percentage ]]</f>
        <v>5722.2429515460944</v>
      </c>
      <c r="BD7" s="61">
        <f>$L$22*Table53[[#This Row],[Locality''s Allocation Percentage ]]</f>
        <v>4130.0948792753734</v>
      </c>
      <c r="BE7" s="61"/>
      <c r="BF7" s="61">
        <f t="shared" si="3"/>
        <v>0</v>
      </c>
      <c r="BG7" s="61">
        <f t="shared" si="3"/>
        <v>4960.1752846383815</v>
      </c>
      <c r="BH7" s="61">
        <f t="shared" si="0"/>
        <v>5741.6580739292758</v>
      </c>
      <c r="BI7" s="61">
        <f t="shared" si="0"/>
        <v>2235.8830869081821</v>
      </c>
      <c r="BJ7" s="61">
        <f t="shared" si="0"/>
        <v>2453.1166847516433</v>
      </c>
      <c r="BK7" s="61">
        <f t="shared" si="0"/>
        <v>2613.4331421376055</v>
      </c>
      <c r="BL7" s="61">
        <f t="shared" si="0"/>
        <v>1966.9621952988605</v>
      </c>
      <c r="BM7" s="61">
        <f t="shared" si="0"/>
        <v>2797.3697702700656</v>
      </c>
      <c r="BN7" s="61">
        <f t="shared" si="0"/>
        <v>2814.1590509581779</v>
      </c>
      <c r="BO7" s="61">
        <f t="shared" si="0"/>
        <v>2617.2220886689884</v>
      </c>
      <c r="BP7" s="61">
        <f t="shared" si="0"/>
        <v>2421.0010341998973</v>
      </c>
      <c r="BQ7" s="61">
        <f t="shared" si="0"/>
        <v>2216.8901430368242</v>
      </c>
      <c r="BR7" s="61">
        <f t="shared" si="0"/>
        <v>1730.7973207436019</v>
      </c>
      <c r="BS7" s="61">
        <f t="shared" si="0"/>
        <v>1730.7973207436019</v>
      </c>
      <c r="BT7" s="61">
        <f t="shared" si="0"/>
        <v>1730.7973207436019</v>
      </c>
      <c r="BU7" s="61">
        <f t="shared" si="0"/>
        <v>1430.5607378865236</v>
      </c>
      <c r="BV7" s="61">
        <f t="shared" si="0"/>
        <v>1430.5607378865236</v>
      </c>
      <c r="BW7" s="61">
        <f t="shared" si="0"/>
        <v>1032.5237198188433</v>
      </c>
      <c r="BX7" s="61"/>
      <c r="BY7" s="61">
        <f>($C$6+$D$6+$E$6)*Table53[[#This Row],[Locality''s Allocation Percentage ]]</f>
        <v>54830.910429970732</v>
      </c>
      <c r="BZ7" s="61">
        <f>$L$6*Table53[[#This Row],[Locality''s Allocation Percentage ]]</f>
        <v>19840.701138553526</v>
      </c>
      <c r="CA7" s="61">
        <f t="shared" si="4"/>
        <v>4960.1752846383815</v>
      </c>
      <c r="CB7" s="76">
        <f>($C$7+$D$7+$E$7)*Table53[[#This Row],[Locality''s Allocation Percentage ]]</f>
        <v>19774.158486293036</v>
      </c>
      <c r="CC7" s="76">
        <f>$L$7*Table53[[#This Row],[Locality''s Allocation Percentage ]]</f>
        <v>22966.632295717103</v>
      </c>
      <c r="CD7" s="76">
        <f t="shared" si="5"/>
        <v>5741.6580739292758</v>
      </c>
    </row>
    <row r="8" spans="2:82" s="19" customFormat="1" ht="18" customHeight="1" x14ac:dyDescent="0.25">
      <c r="B8" s="31" t="s">
        <v>61</v>
      </c>
      <c r="C8" s="32">
        <f t="shared" si="8"/>
        <v>5348881.5036738273</v>
      </c>
      <c r="D8" s="32">
        <f t="shared" si="8"/>
        <v>0</v>
      </c>
      <c r="E8" s="32">
        <v>0</v>
      </c>
      <c r="F8" s="32">
        <f t="shared" ref="F8" si="11">F37*0.225</f>
        <v>1537687.9922727272</v>
      </c>
      <c r="G8" s="32">
        <f t="shared" ref="G8:H8" si="12">G37*0.225</f>
        <v>1563302.1640909088</v>
      </c>
      <c r="H8" s="32">
        <f t="shared" si="12"/>
        <v>0</v>
      </c>
      <c r="I8" s="25">
        <f t="shared" si="6"/>
        <v>1569992.8693636362</v>
      </c>
      <c r="J8" s="25">
        <f t="shared" si="7"/>
        <v>0</v>
      </c>
      <c r="K8" s="25">
        <f>K37*0.3</f>
        <v>2154815.7981818179</v>
      </c>
      <c r="L8" s="32">
        <f>L37*0.0825</f>
        <v>4198799.4893470705</v>
      </c>
      <c r="M8" s="34">
        <f t="shared" si="2"/>
        <v>16373479.816929989</v>
      </c>
      <c r="P8" s="36" t="s">
        <v>219</v>
      </c>
      <c r="Q8" s="37">
        <v>1.0000100001E-3</v>
      </c>
      <c r="S8" s="22" t="s">
        <v>60</v>
      </c>
      <c r="T8" s="61">
        <f>($C$5+$D$5+$E$5+$F$5+$G$5+$H$5+$I$5+$J$5+$K$5)*Table53[[#This Row],[Locality''s Allocation Percentage ]]</f>
        <v>4066.3498480529406</v>
      </c>
      <c r="U8" s="61">
        <f>($C$6+$D$6+$E$6+$F$6+$G$6+$H$6+$I$6+$J$6+$K$6)*Table53[[#This Row],[Locality''s Allocation Percentage ]]</f>
        <v>25742.211469469825</v>
      </c>
      <c r="V8" s="61">
        <f>($C$7+$D$7+$E$7+$F$7+$G$7+$H$7+$I$7+$J$7+$K$7)*Table53[[#This Row],[Locality''s Allocation Percentage ]]</f>
        <v>31746.733654648509</v>
      </c>
      <c r="W8" s="61">
        <f>($C$8+$D$8+$E$8+$F$8+$G$8+$H$8+$I$8+$J$8+$K$8)*Table53[[#This Row],[Locality''s Allocation Percentage ]]</f>
        <v>12174.802075603662</v>
      </c>
      <c r="X8" s="61">
        <f>($C$9+$D$9+$E$9+$F$9+$G$9+$H$9+$I$9+$J$9+$K$9)*Table53[[#This Row],[Locality''s Allocation Percentage ]]</f>
        <v>13082.611609829521</v>
      </c>
      <c r="Y8" s="61">
        <f>($C$10+$D$10+$E$10+$F$10+$G$10+$H$10+$I$10+$J$10+$K$10)*Table53[[#This Row],[Locality''s Allocation Percentage ]]</f>
        <v>13903.694618208327</v>
      </c>
      <c r="Z8" s="61">
        <f>($C$11+$D$11+$E$11+$F$11+$G$11+$H$11+$I$11+$J$11+$K$11)*Table53[[#This Row],[Locality''s Allocation Percentage ]]</f>
        <v>10592.703853349201</v>
      </c>
      <c r="AA8" s="61">
        <f>($C$12+$D$12+$E$12+$F$12+$G$12+$H$12+$I$12+$J$12+$K$12)*Table53[[#This Row],[Locality''s Allocation Percentage ]]</f>
        <v>14845.751612484693</v>
      </c>
      <c r="AB8" s="61">
        <f>($C$13+$D$13+$E$13+$F$13+$G$13+$H$13+$I$13+$J$13+$K$13)*Table53[[#This Row],[Locality''s Allocation Percentage ]]</f>
        <v>14913.29882482906</v>
      </c>
      <c r="AC8" s="61">
        <f>($C$14+$D$14+$E$14+$F$14+$G$14+$H$14+$I$14+$J$14+$K$14)*Table53[[#This Row],[Locality''s Allocation Percentage ]]</f>
        <v>13963.216107313961</v>
      </c>
      <c r="AD8" s="61">
        <f>($C$15+$D$15+$E$15+$F$15+$G$15+$H$15+$I$15+$J$15+$K$15)*Table53[[#This Row],[Locality''s Allocation Percentage ]]</f>
        <v>12957.950042747831</v>
      </c>
      <c r="AE8" s="61">
        <f>($C$16+$D$16+$E$16+$F$16+$G$16+$H$16+$I$16+$J$16+$K$16)*Table53[[#This Row],[Locality''s Allocation Percentage ]]</f>
        <v>11912.567757661669</v>
      </c>
      <c r="AF8" s="61">
        <f>($C$17+$D$17+$E$17+$F$17+$G$17+$H$17+$I$17+$J$17+$K$17)*Table53[[#This Row],[Locality''s Allocation Percentage ]]</f>
        <v>9091.0302488320358</v>
      </c>
      <c r="AG8" s="61">
        <f>($C$18+$D$18+$E$18+$F$18+$G$18+$H$18+$I$18+$J$18+$K$18)*Table53[[#This Row],[Locality''s Allocation Percentage ]]</f>
        <v>9091.0302488320358</v>
      </c>
      <c r="AH8" s="61">
        <f>($C$19+$D$19+$E$19+$F$19+$G$19+$H$19+$I$19+$J$19+$K$19)*Table53[[#This Row],[Locality''s Allocation Percentage ]]</f>
        <v>9091.0302488320358</v>
      </c>
      <c r="AI8" s="61">
        <f>($C$20+$D$20+$E$20+$F$20+$G$20+$H$20+$I$20+$J$20+$K$20)*Table53[[#This Row],[Locality''s Allocation Percentage ]]</f>
        <v>7553.3268795256181</v>
      </c>
      <c r="AJ8" s="61">
        <f>($C$21+$D$21+$E$21+$F$21+$G$21+$H$21+$I$21+$J$21+$K$21)*Table53[[#This Row],[Locality''s Allocation Percentage ]]</f>
        <v>7553.3268795256181</v>
      </c>
      <c r="AK8" s="61">
        <f>($C$22+$D$22+$E$22+$F$22+$G$22+$H$22+$I$22+$J$22+$K$22)*Table53[[#This Row],[Locality''s Allocation Percentage ]]</f>
        <v>5288.2136738481095</v>
      </c>
      <c r="AL8" s="61"/>
      <c r="AM8" s="61"/>
      <c r="AN8" s="61">
        <f>$L$6*Table53[[#This Row],[Locality''s Allocation Percentage ]]</f>
        <v>9314.8831636401537</v>
      </c>
      <c r="AO8" s="61">
        <f>$L$7*Table53[[#This Row],[Locality''s Allocation Percentage ]]</f>
        <v>10782.45647686249</v>
      </c>
      <c r="AP8" s="61">
        <f>$L$8*Table53[[#This Row],[Locality''s Allocation Percentage ]]</f>
        <v>4198.8414777618436</v>
      </c>
      <c r="AQ8" s="61">
        <f>$L$9*Table53[[#This Row],[Locality''s Allocation Percentage ]]</f>
        <v>4606.7918962472177</v>
      </c>
      <c r="AR8" s="61">
        <f>$L$10*Table53[[#This Row],[Locality''s Allocation Percentage ]]</f>
        <v>4907.8556659861133</v>
      </c>
      <c r="AS8" s="61">
        <f>$L$11*Table53[[#This Row],[Locality''s Allocation Percentage ]]</f>
        <v>3693.8257188711</v>
      </c>
      <c r="AT8" s="61">
        <f>$L$12*Table53[[#This Row],[Locality''s Allocation Percentage ]]</f>
        <v>5253.276563887448</v>
      </c>
      <c r="AU8" s="61">
        <f>$L$13*Table53[[#This Row],[Locality''s Allocation Percentage ]]</f>
        <v>5284.8057294989258</v>
      </c>
      <c r="AV8" s="61">
        <f>$L$14*Table53[[#This Row],[Locality''s Allocation Percentage ]]</f>
        <v>4914.9710585333114</v>
      </c>
      <c r="AW8" s="61">
        <f>$L$15*Table53[[#This Row],[Locality''s Allocation Percentage ]]</f>
        <v>4546.4808153988688</v>
      </c>
      <c r="AX8" s="61">
        <f>$L$16*Table53[[#This Row],[Locality''s Allocation Percentage ]]</f>
        <v>4163.1739775339429</v>
      </c>
      <c r="AY8" s="61">
        <f>$L$17*Table53[[#This Row],[Locality''s Allocation Percentage ]]</f>
        <v>3250.3236070302382</v>
      </c>
      <c r="AZ8" s="61">
        <f>$L$18*Table53[[#This Row],[Locality''s Allocation Percentage ]]</f>
        <v>3250.3236070302382</v>
      </c>
      <c r="BA8" s="61">
        <f>$L$19*Table53[[#This Row],[Locality''s Allocation Percentage ]]</f>
        <v>3250.3236070302382</v>
      </c>
      <c r="BB8" s="61">
        <f>$L$20*Table53[[#This Row],[Locality''s Allocation Percentage ]]</f>
        <v>2686.4990382845517</v>
      </c>
      <c r="BC8" s="61">
        <f>$L$21*Table53[[#This Row],[Locality''s Allocation Percentage ]]</f>
        <v>2686.4990382845517</v>
      </c>
      <c r="BD8" s="61">
        <f>$L$22*Table53[[#This Row],[Locality''s Allocation Percentage ]]</f>
        <v>1939.0116804109734</v>
      </c>
      <c r="BE8" s="61"/>
      <c r="BF8" s="61">
        <f t="shared" si="3"/>
        <v>0</v>
      </c>
      <c r="BG8" s="61">
        <f t="shared" si="3"/>
        <v>2328.7207909100384</v>
      </c>
      <c r="BH8" s="61">
        <f t="shared" si="0"/>
        <v>2695.6141192156224</v>
      </c>
      <c r="BI8" s="61">
        <f t="shared" si="0"/>
        <v>1049.7103694404609</v>
      </c>
      <c r="BJ8" s="61">
        <f t="shared" si="0"/>
        <v>1151.6979740618044</v>
      </c>
      <c r="BK8" s="61">
        <f t="shared" si="0"/>
        <v>1226.9639164965283</v>
      </c>
      <c r="BL8" s="61">
        <f t="shared" si="0"/>
        <v>923.45642971777499</v>
      </c>
      <c r="BM8" s="61">
        <f t="shared" si="0"/>
        <v>1313.319140971862</v>
      </c>
      <c r="BN8" s="61">
        <f t="shared" si="0"/>
        <v>1321.2014323747314</v>
      </c>
      <c r="BO8" s="61">
        <f t="shared" si="0"/>
        <v>1228.7427646333279</v>
      </c>
      <c r="BP8" s="61">
        <f t="shared" si="0"/>
        <v>1136.6202038497172</v>
      </c>
      <c r="BQ8" s="61">
        <f t="shared" si="0"/>
        <v>1040.7934943834857</v>
      </c>
      <c r="BR8" s="61">
        <f t="shared" si="0"/>
        <v>812.58090175755956</v>
      </c>
      <c r="BS8" s="61">
        <f t="shared" si="0"/>
        <v>812.58090175755956</v>
      </c>
      <c r="BT8" s="61">
        <f t="shared" si="0"/>
        <v>812.58090175755956</v>
      </c>
      <c r="BU8" s="61">
        <f t="shared" si="0"/>
        <v>671.62475957113793</v>
      </c>
      <c r="BV8" s="61">
        <f t="shared" si="0"/>
        <v>671.62475957113793</v>
      </c>
      <c r="BW8" s="61">
        <f t="shared" si="0"/>
        <v>484.75292010274336</v>
      </c>
      <c r="BX8" s="61"/>
      <c r="BY8" s="61">
        <f>($C$6+$D$6+$E$6)*Table53[[#This Row],[Locality''s Allocation Percentage ]]</f>
        <v>25742.211469469825</v>
      </c>
      <c r="BZ8" s="61">
        <f>$L$6*Table53[[#This Row],[Locality''s Allocation Percentage ]]</f>
        <v>9314.8831636401537</v>
      </c>
      <c r="CA8" s="61">
        <f t="shared" si="4"/>
        <v>2328.7207909100384</v>
      </c>
      <c r="CB8" s="76">
        <f>($C$7+$D$7+$E$7)*Table53[[#This Row],[Locality''s Allocation Percentage ]]</f>
        <v>9283.6424818277155</v>
      </c>
      <c r="CC8" s="76">
        <f>$L$7*Table53[[#This Row],[Locality''s Allocation Percentage ]]</f>
        <v>10782.45647686249</v>
      </c>
      <c r="CD8" s="76">
        <f t="shared" si="5"/>
        <v>2695.6141192156224</v>
      </c>
    </row>
    <row r="9" spans="2:82" s="19" customFormat="1" ht="18" customHeight="1" x14ac:dyDescent="0.25">
      <c r="B9" s="31" t="s">
        <v>63</v>
      </c>
      <c r="C9" s="32">
        <f t="shared" si="8"/>
        <v>5348881.5036225244</v>
      </c>
      <c r="D9" s="32">
        <f t="shared" si="8"/>
        <v>0</v>
      </c>
      <c r="E9" s="32">
        <v>0</v>
      </c>
      <c r="F9" s="32">
        <f t="shared" ref="F9" si="13">F38*0.225</f>
        <v>1537687.9922727272</v>
      </c>
      <c r="G9" s="32">
        <f t="shared" ref="G9:H9" si="14">G38*0.225</f>
        <v>1563302.1640909088</v>
      </c>
      <c r="H9" s="32">
        <f t="shared" si="14"/>
        <v>0</v>
      </c>
      <c r="I9" s="25">
        <f t="shared" si="6"/>
        <v>3137498.028272727</v>
      </c>
      <c r="J9" s="25">
        <f t="shared" si="7"/>
        <v>1495111.0954545455</v>
      </c>
      <c r="K9" s="25">
        <f t="shared" ref="K9:K22" si="15">K38*0.3</f>
        <v>0</v>
      </c>
      <c r="L9" s="32">
        <f t="shared" ref="L9:L22" si="16">L38*0.0825</f>
        <v>4606745.8283282593</v>
      </c>
      <c r="M9" s="34">
        <f t="shared" si="2"/>
        <v>17689226.612041693</v>
      </c>
      <c r="N9" s="35">
        <f>N7-C7</f>
        <v>-3778794.7855000002</v>
      </c>
      <c r="P9" s="28" t="s">
        <v>220</v>
      </c>
      <c r="Q9" s="29">
        <v>2.9900299002989998E-3</v>
      </c>
      <c r="S9" s="30" t="s">
        <v>62</v>
      </c>
      <c r="T9" s="61">
        <f>($C$5+$D$5+$E$5+$F$5+$G$5+$H$5+$I$5+$J$5+$K$5)*Table53[[#This Row],[Locality''s Allocation Percentage ]]</f>
        <v>12158.386045678291</v>
      </c>
      <c r="U9" s="61">
        <f>($C$6+$D$6+$E$6+$F$6+$G$6+$H$6+$I$6+$J$6+$K$6)*Table53[[#This Row],[Locality''s Allocation Percentage ]]</f>
        <v>76969.21229371478</v>
      </c>
      <c r="V9" s="61">
        <f>($C$7+$D$7+$E$7+$F$7+$G$7+$H$7+$I$7+$J$7+$K$7)*Table53[[#This Row],[Locality''s Allocation Percentage ]]</f>
        <v>94922.733627399022</v>
      </c>
      <c r="W9" s="61">
        <f>($C$8+$D$8+$E$8+$F$8+$G$8+$H$8+$I$8+$J$8+$K$8)*Table53[[#This Row],[Locality''s Allocation Percentage ]]</f>
        <v>36402.658206054948</v>
      </c>
      <c r="X9" s="61">
        <f>($C$9+$D$9+$E$9+$F$9+$G$9+$H$9+$I$9+$J$9+$K$9)*Table53[[#This Row],[Locality''s Allocation Percentage ]]</f>
        <v>39117.008713390256</v>
      </c>
      <c r="Y9" s="61">
        <f>($C$10+$D$10+$E$10+$F$10+$G$10+$H$10+$I$10+$J$10+$K$10)*Table53[[#This Row],[Locality''s Allocation Percentage ]]</f>
        <v>41572.046908442891</v>
      </c>
      <c r="Z9" s="61">
        <f>($C$11+$D$11+$E$11+$F$11+$G$11+$H$11+$I$11+$J$11+$K$11)*Table53[[#This Row],[Locality''s Allocation Percentage ]]</f>
        <v>31672.184521514107</v>
      </c>
      <c r="AA9" s="61">
        <f>($C$12+$D$12+$E$12+$F$12+$G$12+$H$12+$I$12+$J$12+$K$12)*Table53[[#This Row],[Locality''s Allocation Percentage ]]</f>
        <v>44388.797321329228</v>
      </c>
      <c r="AB9" s="61">
        <f>($C$13+$D$13+$E$13+$F$13+$G$13+$H$13+$I$13+$J$13+$K$13)*Table53[[#This Row],[Locality''s Allocation Percentage ]]</f>
        <v>44590.76348623888</v>
      </c>
      <c r="AC9" s="61">
        <f>($C$14+$D$14+$E$14+$F$14+$G$14+$H$14+$I$14+$J$14+$K$14)*Table53[[#This Row],[Locality''s Allocation Percentage ]]</f>
        <v>41750.016160868741</v>
      </c>
      <c r="AD9" s="61">
        <f>($C$15+$D$15+$E$15+$F$15+$G$15+$H$15+$I$15+$J$15+$K$15)*Table53[[#This Row],[Locality''s Allocation Percentage ]]</f>
        <v>38744.270627816004</v>
      </c>
      <c r="AE9" s="61">
        <f>($C$16+$D$16+$E$16+$F$16+$G$16+$H$16+$I$16+$J$16+$K$16)*Table53[[#This Row],[Locality''s Allocation Percentage ]]</f>
        <v>35618.577595408387</v>
      </c>
      <c r="AF9" s="61">
        <f>($C$17+$D$17+$E$17+$F$17+$G$17+$H$17+$I$17+$J$17+$K$17)*Table53[[#This Row],[Locality''s Allocation Percentage ]]</f>
        <v>27182.180444007787</v>
      </c>
      <c r="AG9" s="61">
        <f>($C$18+$D$18+$E$18+$F$18+$G$18+$H$18+$I$18+$J$18+$K$18)*Table53[[#This Row],[Locality''s Allocation Percentage ]]</f>
        <v>27182.180444007787</v>
      </c>
      <c r="AH9" s="61">
        <f>($C$19+$D$19+$E$19+$F$19+$G$19+$H$19+$I$19+$J$19+$K$19)*Table53[[#This Row],[Locality''s Allocation Percentage ]]</f>
        <v>27182.180444007787</v>
      </c>
      <c r="AI9" s="61">
        <f>($C$20+$D$20+$E$20+$F$20+$G$20+$H$20+$I$20+$J$20+$K$20)*Table53[[#This Row],[Locality''s Allocation Percentage ]]</f>
        <v>22584.447369781596</v>
      </c>
      <c r="AJ9" s="61">
        <f>($C$21+$D$21+$E$21+$F$21+$G$21+$H$21+$I$21+$J$21+$K$21)*Table53[[#This Row],[Locality''s Allocation Percentage ]]</f>
        <v>22584.447369781596</v>
      </c>
      <c r="AK9" s="61">
        <f>($C$22+$D$22+$E$22+$F$22+$G$22+$H$22+$I$22+$J$22+$K$22)*Table53[[#This Row],[Locality''s Allocation Percentage ]]</f>
        <v>15811.758884805846</v>
      </c>
      <c r="AL9" s="61"/>
      <c r="AM9" s="61"/>
      <c r="AN9" s="61">
        <f>$L$6*Table53[[#This Row],[Locality''s Allocation Percentage ]]</f>
        <v>27851.500659284058</v>
      </c>
      <c r="AO9" s="61">
        <f>$L$7*Table53[[#This Row],[Locality''s Allocation Percentage ]]</f>
        <v>32239.54486581884</v>
      </c>
      <c r="AP9" s="61">
        <f>$L$8*Table53[[#This Row],[Locality''s Allocation Percentage ]]</f>
        <v>12554.536018507912</v>
      </c>
      <c r="AQ9" s="61">
        <f>$L$9*Table53[[#This Row],[Locality''s Allocation Percentage ]]</f>
        <v>13774.307769779178</v>
      </c>
      <c r="AR9" s="61">
        <f>$L$10*Table53[[#This Row],[Locality''s Allocation Percentage ]]</f>
        <v>14674.488441298477</v>
      </c>
      <c r="AS9" s="61">
        <f>$L$11*Table53[[#This Row],[Locality''s Allocation Percentage ]]</f>
        <v>11044.538899424588</v>
      </c>
      <c r="AT9" s="61">
        <f>$L$12*Table53[[#This Row],[Locality''s Allocation Percentage ]]</f>
        <v>15707.296926023466</v>
      </c>
      <c r="AU9" s="61">
        <f>$L$13*Table53[[#This Row],[Locality''s Allocation Percentage ]]</f>
        <v>15801.569131201786</v>
      </c>
      <c r="AV9" s="61">
        <f>$L$14*Table53[[#This Row],[Locality''s Allocation Percentage ]]</f>
        <v>14695.763465014601</v>
      </c>
      <c r="AW9" s="61">
        <f>$L$15*Table53[[#This Row],[Locality''s Allocation Percentage ]]</f>
        <v>13593.977638042616</v>
      </c>
      <c r="AX9" s="61">
        <f>$L$16*Table53[[#This Row],[Locality''s Allocation Percentage ]]</f>
        <v>12447.890192826486</v>
      </c>
      <c r="AY9" s="61">
        <f>$L$17*Table53[[#This Row],[Locality''s Allocation Percentage ]]</f>
        <v>9718.4675850204112</v>
      </c>
      <c r="AZ9" s="61">
        <f>$L$18*Table53[[#This Row],[Locality''s Allocation Percentage ]]</f>
        <v>9718.4675850204112</v>
      </c>
      <c r="BA9" s="61">
        <f>$L$19*Table53[[#This Row],[Locality''s Allocation Percentage ]]</f>
        <v>9718.4675850204112</v>
      </c>
      <c r="BB9" s="61">
        <f>$L$20*Table53[[#This Row],[Locality''s Allocation Percentage ]]</f>
        <v>8032.6321244708079</v>
      </c>
      <c r="BC9" s="61">
        <f>$L$21*Table53[[#This Row],[Locality''s Allocation Percentage ]]</f>
        <v>8032.6321244708079</v>
      </c>
      <c r="BD9" s="61">
        <f>$L$22*Table53[[#This Row],[Locality''s Allocation Percentage ]]</f>
        <v>5797.6449244288096</v>
      </c>
      <c r="BE9" s="61"/>
      <c r="BF9" s="61">
        <f t="shared" si="3"/>
        <v>0</v>
      </c>
      <c r="BG9" s="61">
        <f t="shared" si="3"/>
        <v>6962.8751648210146</v>
      </c>
      <c r="BH9" s="61">
        <f t="shared" si="0"/>
        <v>8059.8862164547099</v>
      </c>
      <c r="BI9" s="61">
        <f t="shared" si="0"/>
        <v>3138.6340046269779</v>
      </c>
      <c r="BJ9" s="61">
        <f t="shared" si="0"/>
        <v>3443.5769424447944</v>
      </c>
      <c r="BK9" s="61">
        <f t="shared" si="0"/>
        <v>3668.6221103246194</v>
      </c>
      <c r="BL9" s="61">
        <f t="shared" si="0"/>
        <v>2761.1347248561469</v>
      </c>
      <c r="BM9" s="61">
        <f t="shared" si="0"/>
        <v>3926.8242315058665</v>
      </c>
      <c r="BN9" s="61">
        <f t="shared" si="0"/>
        <v>3950.3922828004465</v>
      </c>
      <c r="BO9" s="61">
        <f t="shared" si="0"/>
        <v>3673.9408662536503</v>
      </c>
      <c r="BP9" s="61">
        <f t="shared" si="0"/>
        <v>3398.4944095106539</v>
      </c>
      <c r="BQ9" s="61">
        <f t="shared" si="0"/>
        <v>3111.9725482066215</v>
      </c>
      <c r="BR9" s="61">
        <f t="shared" si="0"/>
        <v>2429.6168962551028</v>
      </c>
      <c r="BS9" s="61">
        <f t="shared" si="0"/>
        <v>2429.6168962551028</v>
      </c>
      <c r="BT9" s="61">
        <f t="shared" si="0"/>
        <v>2429.6168962551028</v>
      </c>
      <c r="BU9" s="61">
        <f t="shared" si="0"/>
        <v>2008.158031117702</v>
      </c>
      <c r="BV9" s="61">
        <f t="shared" si="0"/>
        <v>2008.158031117702</v>
      </c>
      <c r="BW9" s="61">
        <f t="shared" si="0"/>
        <v>1449.4112311072024</v>
      </c>
      <c r="BX9" s="61"/>
      <c r="BY9" s="61">
        <f>($C$6+$D$6+$E$6)*Table53[[#This Row],[Locality''s Allocation Percentage ]]</f>
        <v>76969.21229371478</v>
      </c>
      <c r="BZ9" s="61">
        <f>$L$6*Table53[[#This Row],[Locality''s Allocation Percentage ]]</f>
        <v>27851.500659284058</v>
      </c>
      <c r="CA9" s="61">
        <f t="shared" si="4"/>
        <v>6962.8751648210146</v>
      </c>
      <c r="CB9" s="76">
        <f>($C$7+$D$7+$E$7)*Table53[[#This Row],[Locality''s Allocation Percentage ]]</f>
        <v>27758.091020664866</v>
      </c>
      <c r="CC9" s="76">
        <f>$L$7*Table53[[#This Row],[Locality''s Allocation Percentage ]]</f>
        <v>32239.54486581884</v>
      </c>
      <c r="CD9" s="76">
        <f t="shared" si="5"/>
        <v>8059.8862164547099</v>
      </c>
    </row>
    <row r="10" spans="2:82" s="19" customFormat="1" ht="18" customHeight="1" x14ac:dyDescent="0.25">
      <c r="B10" s="31" t="s">
        <v>65</v>
      </c>
      <c r="C10" s="32">
        <f t="shared" si="8"/>
        <v>5348881.5035712225</v>
      </c>
      <c r="D10" s="32">
        <f t="shared" si="8"/>
        <v>821074.79760002682</v>
      </c>
      <c r="E10" s="32">
        <v>0</v>
      </c>
      <c r="F10" s="32">
        <f t="shared" ref="F10" si="17">F39*0.225</f>
        <v>1537687.9922727272</v>
      </c>
      <c r="G10" s="32">
        <f t="shared" ref="G10:H10" si="18">G39*0.225</f>
        <v>1563302.1640909088</v>
      </c>
      <c r="H10" s="32">
        <f t="shared" si="18"/>
        <v>0</v>
      </c>
      <c r="I10" s="25">
        <f t="shared" si="6"/>
        <v>3137498.028272727</v>
      </c>
      <c r="J10" s="25">
        <f t="shared" si="7"/>
        <v>1495111.0954545455</v>
      </c>
      <c r="K10" s="25">
        <f t="shared" si="15"/>
        <v>0</v>
      </c>
      <c r="L10" s="32">
        <f t="shared" si="16"/>
        <v>4907806.5874294583</v>
      </c>
      <c r="M10" s="34">
        <f t="shared" si="2"/>
        <v>18811362.168691617</v>
      </c>
      <c r="P10" s="36" t="s">
        <v>221</v>
      </c>
      <c r="Q10" s="37">
        <v>1.3300133001329999E-3</v>
      </c>
      <c r="S10" s="22" t="s">
        <v>64</v>
      </c>
      <c r="T10" s="61">
        <f>($C$5+$D$5+$E$5+$F$5+$G$5+$H$5+$I$5+$J$5+$K$5)*Table53[[#This Row],[Locality''s Allocation Percentage ]]</f>
        <v>5408.245297910411</v>
      </c>
      <c r="U10" s="61">
        <f>($C$6+$D$6+$E$6+$F$6+$G$6+$H$6+$I$6+$J$6+$K$6)*Table53[[#This Row],[Locality''s Allocation Percentage ]]</f>
        <v>34237.141254394868</v>
      </c>
      <c r="V10" s="61">
        <f>($C$7+$D$7+$E$7+$F$7+$G$7+$H$7+$I$7+$J$7+$K$7)*Table53[[#This Row],[Locality''s Allocation Percentage ]]</f>
        <v>42223.155760682515</v>
      </c>
      <c r="W10" s="61">
        <f>($C$8+$D$8+$E$8+$F$8+$G$8+$H$8+$I$8+$J$8+$K$8)*Table53[[#This Row],[Locality''s Allocation Percentage ]]</f>
        <v>16192.486760552871</v>
      </c>
      <c r="X10" s="61">
        <f>($C$9+$D$9+$E$9+$F$9+$G$9+$H$9+$I$9+$J$9+$K$9)*Table53[[#This Row],[Locality''s Allocation Percentage ]]</f>
        <v>17399.873441073261</v>
      </c>
      <c r="Y10" s="61">
        <f>($C$10+$D$10+$E$10+$F$10+$G$10+$H$10+$I$10+$J$10+$K$10)*Table53[[#This Row],[Locality''s Allocation Percentage ]]</f>
        <v>18491.913842217073</v>
      </c>
      <c r="Z10" s="61">
        <f>($C$11+$D$11+$E$11+$F$11+$G$11+$H$11+$I$11+$J$11+$K$11)*Table53[[#This Row],[Locality''s Allocation Percentage ]]</f>
        <v>14088.296124954435</v>
      </c>
      <c r="AA10" s="61">
        <f>($C$12+$D$12+$E$12+$F$12+$G$12+$H$12+$I$12+$J$12+$K$12)*Table53[[#This Row],[Locality''s Allocation Percentage ]]</f>
        <v>19744.849644604641</v>
      </c>
      <c r="AB10" s="61">
        <f>($C$13+$D$13+$E$13+$F$13+$G$13+$H$13+$I$13+$J$13+$K$13)*Table53[[#This Row],[Locality''s Allocation Percentage ]]</f>
        <v>19834.687437022647</v>
      </c>
      <c r="AC10" s="61">
        <f>($C$14+$D$14+$E$14+$F$14+$G$14+$H$14+$I$14+$J$14+$K$14)*Table53[[#This Row],[Locality''s Allocation Percentage ]]</f>
        <v>18571.077422727569</v>
      </c>
      <c r="AD10" s="61">
        <f>($C$15+$D$15+$E$15+$F$15+$G$15+$H$15+$I$15+$J$15+$K$15)*Table53[[#This Row],[Locality''s Allocation Percentage ]]</f>
        <v>17234.073556854612</v>
      </c>
      <c r="AE10" s="61">
        <f>($C$16+$D$16+$E$16+$F$16+$G$16+$H$16+$I$16+$J$16+$K$16)*Table53[[#This Row],[Locality''s Allocation Percentage ]]</f>
        <v>15843.715117690019</v>
      </c>
      <c r="AF10" s="61">
        <f>($C$17+$D$17+$E$17+$F$17+$G$17+$H$17+$I$17+$J$17+$K$17)*Table53[[#This Row],[Locality''s Allocation Percentage ]]</f>
        <v>12091.070230946607</v>
      </c>
      <c r="AG10" s="61">
        <f>($C$18+$D$18+$E$18+$F$18+$G$18+$H$18+$I$18+$J$18+$K$18)*Table53[[#This Row],[Locality''s Allocation Percentage ]]</f>
        <v>12091.070230946607</v>
      </c>
      <c r="AH10" s="61">
        <f>($C$19+$D$19+$E$19+$F$19+$G$19+$H$19+$I$19+$J$19+$K$19)*Table53[[#This Row],[Locality''s Allocation Percentage ]]</f>
        <v>12091.070230946607</v>
      </c>
      <c r="AI10" s="61">
        <f>($C$20+$D$20+$E$20+$F$20+$G$20+$H$20+$I$20+$J$20+$K$20)*Table53[[#This Row],[Locality''s Allocation Percentage ]]</f>
        <v>10045.92474976907</v>
      </c>
      <c r="AJ10" s="61">
        <f>($C$21+$D$21+$E$21+$F$21+$G$21+$H$21+$I$21+$J$21+$K$21)*Table53[[#This Row],[Locality''s Allocation Percentage ]]</f>
        <v>10045.92474976907</v>
      </c>
      <c r="AK10" s="61">
        <f>($C$22+$D$22+$E$22+$F$22+$G$22+$H$22+$I$22+$J$22+$K$22)*Table53[[#This Row],[Locality''s Allocation Percentage ]]</f>
        <v>7033.3241862179848</v>
      </c>
      <c r="AL10" s="61"/>
      <c r="AM10" s="61"/>
      <c r="AN10" s="61">
        <f>$L$6*Table53[[#This Row],[Locality''s Allocation Percentage ]]</f>
        <v>12388.794607641403</v>
      </c>
      <c r="AO10" s="61">
        <f>$L$7*Table53[[#This Row],[Locality''s Allocation Percentage ]]</f>
        <v>14340.66711422711</v>
      </c>
      <c r="AP10" s="61">
        <f>$L$8*Table53[[#This Row],[Locality''s Allocation Percentage ]]</f>
        <v>5584.4591654232518</v>
      </c>
      <c r="AQ10" s="61">
        <f>$L$9*Table53[[#This Row],[Locality''s Allocation Percentage ]]</f>
        <v>6127.0332220087985</v>
      </c>
      <c r="AR10" s="61">
        <f>$L$10*Table53[[#This Row],[Locality''s Allocation Percentage ]]</f>
        <v>6527.4480357615303</v>
      </c>
      <c r="AS10" s="61">
        <f>$L$11*Table53[[#This Row],[Locality''s Allocation Percentage ]]</f>
        <v>4912.7882060985621</v>
      </c>
      <c r="AT10" s="61">
        <f>$L$12*Table53[[#This Row],[Locality''s Allocation Percentage ]]</f>
        <v>6986.8578299703049</v>
      </c>
      <c r="AU10" s="61">
        <f>$L$13*Table53[[#This Row],[Locality''s Allocation Percentage ]]</f>
        <v>7028.7916202335709</v>
      </c>
      <c r="AV10" s="61">
        <f>$L$14*Table53[[#This Row],[Locality''s Allocation Percentage ]]</f>
        <v>6536.9115078493041</v>
      </c>
      <c r="AW10" s="61">
        <f>$L$15*Table53[[#This Row],[Locality''s Allocation Percentage ]]</f>
        <v>6046.8194844804948</v>
      </c>
      <c r="AX10" s="61">
        <f>$L$16*Table53[[#This Row],[Locality''s Allocation Percentage ]]</f>
        <v>5537.0213901201432</v>
      </c>
      <c r="AY10" s="61">
        <f>$L$17*Table53[[#This Row],[Locality''s Allocation Percentage ]]</f>
        <v>4322.9303973502165</v>
      </c>
      <c r="AZ10" s="61">
        <f>$L$18*Table53[[#This Row],[Locality''s Allocation Percentage ]]</f>
        <v>4322.9303973502165</v>
      </c>
      <c r="BA10" s="61">
        <f>$L$19*Table53[[#This Row],[Locality''s Allocation Percentage ]]</f>
        <v>4322.9303973502165</v>
      </c>
      <c r="BB10" s="61">
        <f>$L$20*Table53[[#This Row],[Locality''s Allocation Percentage ]]</f>
        <v>3573.0437209184533</v>
      </c>
      <c r="BC10" s="61">
        <f>$L$21*Table53[[#This Row],[Locality''s Allocation Percentage ]]</f>
        <v>3573.0437209184533</v>
      </c>
      <c r="BD10" s="61">
        <f>$L$22*Table53[[#This Row],[Locality''s Allocation Percentage ]]</f>
        <v>2578.8855349465944</v>
      </c>
      <c r="BE10" s="61"/>
      <c r="BF10" s="61">
        <f t="shared" si="3"/>
        <v>0</v>
      </c>
      <c r="BG10" s="61">
        <f t="shared" si="3"/>
        <v>3097.1986519103507</v>
      </c>
      <c r="BH10" s="61">
        <f t="shared" si="0"/>
        <v>3585.1667785567774</v>
      </c>
      <c r="BI10" s="61">
        <f t="shared" si="0"/>
        <v>1396.1147913558129</v>
      </c>
      <c r="BJ10" s="61">
        <f t="shared" si="0"/>
        <v>1531.7583055021996</v>
      </c>
      <c r="BK10" s="61">
        <f t="shared" si="0"/>
        <v>1631.8620089403826</v>
      </c>
      <c r="BL10" s="61">
        <f t="shared" si="0"/>
        <v>1228.1970515246405</v>
      </c>
      <c r="BM10" s="61">
        <f t="shared" si="0"/>
        <v>1746.7144574925762</v>
      </c>
      <c r="BN10" s="61">
        <f t="shared" si="0"/>
        <v>1757.1979050583927</v>
      </c>
      <c r="BO10" s="61">
        <f t="shared" si="0"/>
        <v>1634.227876962326</v>
      </c>
      <c r="BP10" s="61">
        <f t="shared" si="0"/>
        <v>1511.7048711201237</v>
      </c>
      <c r="BQ10" s="61">
        <f t="shared" si="0"/>
        <v>1384.2553475300358</v>
      </c>
      <c r="BR10" s="61">
        <f t="shared" si="0"/>
        <v>1080.7325993375541</v>
      </c>
      <c r="BS10" s="61">
        <f t="shared" si="0"/>
        <v>1080.7325993375541</v>
      </c>
      <c r="BT10" s="61">
        <f t="shared" si="0"/>
        <v>1080.7325993375541</v>
      </c>
      <c r="BU10" s="61">
        <f t="shared" si="0"/>
        <v>893.26093022961334</v>
      </c>
      <c r="BV10" s="61">
        <f t="shared" si="0"/>
        <v>893.26093022961334</v>
      </c>
      <c r="BW10" s="61">
        <f t="shared" si="0"/>
        <v>644.72138373664859</v>
      </c>
      <c r="BX10" s="61"/>
      <c r="BY10" s="61">
        <f>($C$6+$D$6+$E$6)*Table53[[#This Row],[Locality''s Allocation Percentage ]]</f>
        <v>34237.141254394868</v>
      </c>
      <c r="BZ10" s="61">
        <f>$L$6*Table53[[#This Row],[Locality''s Allocation Percentage ]]</f>
        <v>12388.794607641403</v>
      </c>
      <c r="CA10" s="61">
        <f t="shared" si="4"/>
        <v>3097.1986519103507</v>
      </c>
      <c r="CB10" s="76">
        <f>($C$7+$D$7+$E$7)*Table53[[#This Row],[Locality''s Allocation Percentage ]]</f>
        <v>12347.24450083086</v>
      </c>
      <c r="CC10" s="76">
        <f>$L$7*Table53[[#This Row],[Locality''s Allocation Percentage ]]</f>
        <v>14340.66711422711</v>
      </c>
      <c r="CD10" s="76">
        <f t="shared" si="5"/>
        <v>3585.1667785567774</v>
      </c>
    </row>
    <row r="11" spans="2:82" s="19" customFormat="1" ht="18" customHeight="1" x14ac:dyDescent="0.25">
      <c r="B11" s="129" t="s">
        <v>66</v>
      </c>
      <c r="C11" s="128">
        <f t="shared" si="8"/>
        <v>2037923.85375</v>
      </c>
      <c r="D11" s="32">
        <f t="shared" si="8"/>
        <v>821074.79246976785</v>
      </c>
      <c r="E11" s="32">
        <v>0</v>
      </c>
      <c r="F11" s="32">
        <f t="shared" ref="F11" si="19">F40*0.225</f>
        <v>1537687.9922727272</v>
      </c>
      <c r="G11" s="32">
        <f t="shared" ref="G11:H11" si="20">G40*0.225</f>
        <v>1563302.1640909088</v>
      </c>
      <c r="H11" s="32">
        <f t="shared" si="20"/>
        <v>0</v>
      </c>
      <c r="I11" s="25">
        <f t="shared" si="6"/>
        <v>3137498.028272727</v>
      </c>
      <c r="J11" s="25">
        <f t="shared" si="7"/>
        <v>1495111.0954545455</v>
      </c>
      <c r="K11" s="25">
        <f t="shared" si="15"/>
        <v>0</v>
      </c>
      <c r="L11" s="32">
        <f t="shared" si="16"/>
        <v>3693788.7806139146</v>
      </c>
      <c r="M11" s="34">
        <f t="shared" si="2"/>
        <v>14286386.706924591</v>
      </c>
      <c r="N11" s="19">
        <v>5348881.5035712225</v>
      </c>
      <c r="P11" s="28" t="s">
        <v>222</v>
      </c>
      <c r="Q11" s="29">
        <v>1.3780137801378E-2</v>
      </c>
      <c r="S11" s="30" t="s">
        <v>11</v>
      </c>
      <c r="T11" s="61">
        <f>($C$5+$D$5+$E$5+$F$5+$G$5+$H$5+$I$5+$J$5+$K$5)*Table53[[#This Row],[Locality''s Allocation Percentage ]]</f>
        <v>56034.300906169519</v>
      </c>
      <c r="U11" s="61">
        <f>($C$6+$D$6+$E$6+$F$6+$G$6+$H$6+$I$6+$J$6+$K$6)*Table53[[#This Row],[Locality''s Allocation Percentage ]]</f>
        <v>354727.6740492942</v>
      </c>
      <c r="V11" s="61">
        <f>($C$7+$D$7+$E$7+$F$7+$G$7+$H$7+$I$7+$J$7+$K$7)*Table53[[#This Row],[Locality''s Allocation Percentage ]]</f>
        <v>437469.98976105644</v>
      </c>
      <c r="W11" s="61">
        <f>($C$8+$D$8+$E$8+$F$8+$G$8+$H$8+$I$8+$J$8+$K$8)*Table53[[#This Row],[Locality''s Allocation Percentage ]]</f>
        <v>167768.77260181846</v>
      </c>
      <c r="X11" s="61">
        <f>($C$9+$D$9+$E$9+$F$9+$G$9+$H$9+$I$9+$J$9+$K$9)*Table53[[#This Row],[Locality''s Allocation Percentage ]]</f>
        <v>180278.38798345078</v>
      </c>
      <c r="Y11" s="61">
        <f>($C$10+$D$10+$E$10+$F$10+$G$10+$H$10+$I$10+$J$10+$K$10)*Table53[[#This Row],[Locality''s Allocation Percentage ]]</f>
        <v>191592.91183891075</v>
      </c>
      <c r="Z11" s="61">
        <f>($C$11+$D$11+$E$11+$F$11+$G$11+$H$11+$I$11+$J$11+$K$11)*Table53[[#This Row],[Locality''s Allocation Percentage ]]</f>
        <v>145967.45909915198</v>
      </c>
      <c r="AA11" s="61">
        <f>($C$12+$D$12+$E$12+$F$12+$G$12+$H$12+$I$12+$J$12+$K$12)*Table53[[#This Row],[Locality''s Allocation Percentage ]]</f>
        <v>204574.45722003907</v>
      </c>
      <c r="AB11" s="61">
        <f>($C$13+$D$13+$E$13+$F$13+$G$13+$H$13+$I$13+$J$13+$K$13)*Table53[[#This Row],[Locality''s Allocation Percentage ]]</f>
        <v>205505.25780614442</v>
      </c>
      <c r="AC11" s="61">
        <f>($C$14+$D$14+$E$14+$F$14+$G$14+$H$14+$I$14+$J$14+$K$14)*Table53[[#This Row],[Locality''s Allocation Percentage ]]</f>
        <v>192413.1179587864</v>
      </c>
      <c r="AD11" s="61">
        <f>($C$15+$D$15+$E$15+$F$15+$G$15+$H$15+$I$15+$J$15+$K$15)*Table53[[#This Row],[Locality''s Allocation Percentage ]]</f>
        <v>178560.55158906509</v>
      </c>
      <c r="AE11" s="61">
        <f>($C$16+$D$16+$E$16+$F$16+$G$16+$H$16+$I$16+$J$16+$K$16)*Table53[[#This Row],[Locality''s Allocation Percentage ]]</f>
        <v>164155.18370057779</v>
      </c>
      <c r="AF11" s="61">
        <f>($C$17+$D$17+$E$17+$F$17+$G$17+$H$17+$I$17+$J$17+$K$17)*Table53[[#This Row],[Locality''s Allocation Percentage ]]</f>
        <v>125274.39682890546</v>
      </c>
      <c r="AG11" s="61">
        <f>($C$18+$D$18+$E$18+$F$18+$G$18+$H$18+$I$18+$J$18+$K$18)*Table53[[#This Row],[Locality''s Allocation Percentage ]]</f>
        <v>125274.39682890546</v>
      </c>
      <c r="AH11" s="61">
        <f>($C$19+$D$19+$E$19+$F$19+$G$19+$H$19+$I$19+$J$19+$K$19)*Table53[[#This Row],[Locality''s Allocation Percentage ]]</f>
        <v>125274.39682890546</v>
      </c>
      <c r="AI11" s="61">
        <f>($C$20+$D$20+$E$20+$F$20+$G$20+$H$20+$I$20+$J$20+$K$20)*Table53[[#This Row],[Locality''s Allocation Percentage ]]</f>
        <v>104084.84439986301</v>
      </c>
      <c r="AJ11" s="61">
        <f>($C$21+$D$21+$E$21+$F$21+$G$21+$H$21+$I$21+$J$21+$K$21)*Table53[[#This Row],[Locality''s Allocation Percentage ]]</f>
        <v>104084.84439986301</v>
      </c>
      <c r="AK11" s="61">
        <f>($C$22+$D$22+$E$22+$F$22+$G$22+$H$22+$I$22+$J$22+$K$22)*Table53[[#This Row],[Locality''s Allocation Percentage ]]</f>
        <v>72871.584425626948</v>
      </c>
      <c r="AL11" s="61"/>
      <c r="AM11" s="61"/>
      <c r="AN11" s="61">
        <f>$L$6*Table53[[#This Row],[Locality''s Allocation Percentage ]]</f>
        <v>128359.08999496131</v>
      </c>
      <c r="AO11" s="61">
        <f>$L$7*Table53[[#This Row],[Locality''s Allocation Percentage ]]</f>
        <v>148582.2502511651</v>
      </c>
      <c r="AP11" s="61">
        <f>$L$8*Table53[[#This Row],[Locality''s Allocation Percentage ]]</f>
        <v>57860.035563558209</v>
      </c>
      <c r="AQ11" s="61">
        <f>$L$9*Table53[[#This Row],[Locality''s Allocation Percentage ]]</f>
        <v>63481.59233028665</v>
      </c>
      <c r="AR11" s="61">
        <f>$L$10*Table53[[#This Row],[Locality''s Allocation Percentage ]]</f>
        <v>67630.251077288645</v>
      </c>
      <c r="AS11" s="61">
        <f>$L$11*Table53[[#This Row],[Locality''s Allocation Percentage ]]</f>
        <v>50900.918406043755</v>
      </c>
      <c r="AT11" s="61">
        <f>$L$12*Table53[[#This Row],[Locality''s Allocation Percentage ]]</f>
        <v>72390.151050369022</v>
      </c>
      <c r="AU11" s="61">
        <f>$L$13*Table53[[#This Row],[Locality''s Allocation Percentage ]]</f>
        <v>72824.622952495192</v>
      </c>
      <c r="AV11" s="61">
        <f>$L$14*Table53[[#This Row],[Locality''s Allocation Percentage ]]</f>
        <v>67728.301186589029</v>
      </c>
      <c r="AW11" s="61">
        <f>$L$15*Table53[[#This Row],[Locality''s Allocation Percentage ]]</f>
        <v>62650.505636196409</v>
      </c>
      <c r="AX11" s="61">
        <f>$L$16*Table53[[#This Row],[Locality''s Allocation Percentage ]]</f>
        <v>57368.537410417724</v>
      </c>
      <c r="AY11" s="61">
        <f>$L$17*Table53[[#This Row],[Locality''s Allocation Percentage ]]</f>
        <v>44789.459304876684</v>
      </c>
      <c r="AZ11" s="61">
        <f>$L$18*Table53[[#This Row],[Locality''s Allocation Percentage ]]</f>
        <v>44789.459304876684</v>
      </c>
      <c r="BA11" s="61">
        <f>$L$19*Table53[[#This Row],[Locality''s Allocation Percentage ]]</f>
        <v>44789.459304876684</v>
      </c>
      <c r="BB11" s="61">
        <f>$L$20*Table53[[#This Row],[Locality''s Allocation Percentage ]]</f>
        <v>37019.956747561118</v>
      </c>
      <c r="BC11" s="61">
        <f>$L$21*Table53[[#This Row],[Locality''s Allocation Percentage ]]</f>
        <v>37019.956747561118</v>
      </c>
      <c r="BD11" s="61">
        <f>$L$22*Table53[[#This Row],[Locality''s Allocation Percentage ]]</f>
        <v>26719.580956063211</v>
      </c>
      <c r="BE11" s="61"/>
      <c r="BF11" s="61">
        <f t="shared" si="3"/>
        <v>0</v>
      </c>
      <c r="BG11" s="61">
        <f t="shared" si="3"/>
        <v>32089.772498740327</v>
      </c>
      <c r="BH11" s="61">
        <f t="shared" si="0"/>
        <v>37145.562562791274</v>
      </c>
      <c r="BI11" s="61">
        <f t="shared" si="0"/>
        <v>14465.008890889552</v>
      </c>
      <c r="BJ11" s="61">
        <f t="shared" si="0"/>
        <v>15870.398082571663</v>
      </c>
      <c r="BK11" s="61">
        <f t="shared" si="0"/>
        <v>16907.562769322161</v>
      </c>
      <c r="BL11" s="61">
        <f t="shared" si="0"/>
        <v>12725.229601510939</v>
      </c>
      <c r="BM11" s="61">
        <f t="shared" si="0"/>
        <v>18097.537762592256</v>
      </c>
      <c r="BN11" s="61">
        <f t="shared" si="0"/>
        <v>18206.155738123798</v>
      </c>
      <c r="BO11" s="61">
        <f t="shared" si="0"/>
        <v>16932.075296647257</v>
      </c>
      <c r="BP11" s="61">
        <f t="shared" si="0"/>
        <v>15662.626409049102</v>
      </c>
      <c r="BQ11" s="61">
        <f t="shared" si="0"/>
        <v>14342.134352604431</v>
      </c>
      <c r="BR11" s="61">
        <f t="shared" si="0"/>
        <v>11197.364826219171</v>
      </c>
      <c r="BS11" s="61">
        <f t="shared" si="0"/>
        <v>11197.364826219171</v>
      </c>
      <c r="BT11" s="61">
        <f t="shared" si="0"/>
        <v>11197.364826219171</v>
      </c>
      <c r="BU11" s="61">
        <f t="shared" si="0"/>
        <v>9254.9891868902796</v>
      </c>
      <c r="BV11" s="61">
        <f t="shared" si="0"/>
        <v>9254.9891868902796</v>
      </c>
      <c r="BW11" s="61">
        <f t="shared" si="0"/>
        <v>6679.8952390158029</v>
      </c>
      <c r="BX11" s="61"/>
      <c r="BY11" s="61">
        <f>($C$6+$D$6+$E$6)*Table53[[#This Row],[Locality''s Allocation Percentage ]]</f>
        <v>354727.6740492942</v>
      </c>
      <c r="BZ11" s="61">
        <f>$L$6*Table53[[#This Row],[Locality''s Allocation Percentage ]]</f>
        <v>128359.08999496131</v>
      </c>
      <c r="CA11" s="61">
        <f t="shared" si="4"/>
        <v>32089.772498740327</v>
      </c>
      <c r="CB11" s="76">
        <f>($C$7+$D$7+$E$7)*Table53[[#This Row],[Locality''s Allocation Percentage ]]</f>
        <v>127928.59339958592</v>
      </c>
      <c r="CC11" s="76">
        <f>$L$7*Table53[[#This Row],[Locality''s Allocation Percentage ]]</f>
        <v>148582.2502511651</v>
      </c>
      <c r="CD11" s="76">
        <f t="shared" si="5"/>
        <v>37145.562562791274</v>
      </c>
    </row>
    <row r="12" spans="2:82" s="19" customFormat="1" ht="18" customHeight="1" x14ac:dyDescent="0.25">
      <c r="B12" s="31" t="s">
        <v>68</v>
      </c>
      <c r="C12" s="32">
        <f t="shared" si="8"/>
        <v>6290929.0926684234</v>
      </c>
      <c r="D12" s="32">
        <f t="shared" si="8"/>
        <v>821074.7822092498</v>
      </c>
      <c r="E12" s="32">
        <v>0</v>
      </c>
      <c r="F12" s="32">
        <f t="shared" ref="F12" si="21">F41*0.225</f>
        <v>1537687.9922727272</v>
      </c>
      <c r="G12" s="32">
        <f t="shared" ref="G12:H12" si="22">G41*0.225</f>
        <v>1563302.1640909088</v>
      </c>
      <c r="H12" s="32">
        <f t="shared" si="22"/>
        <v>0</v>
      </c>
      <c r="I12" s="25">
        <f t="shared" si="6"/>
        <v>3137498.028272727</v>
      </c>
      <c r="J12" s="25">
        <f t="shared" si="7"/>
        <v>1495111.0954545455</v>
      </c>
      <c r="K12" s="25">
        <f t="shared" si="15"/>
        <v>0</v>
      </c>
      <c r="L12" s="32">
        <f t="shared" si="16"/>
        <v>5253224.0311218137</v>
      </c>
      <c r="M12" s="34">
        <f t="shared" si="2"/>
        <v>20098827.186090395</v>
      </c>
      <c r="P12" s="36" t="s">
        <v>223</v>
      </c>
      <c r="Q12" s="37">
        <v>8.3500835008350101E-3</v>
      </c>
      <c r="S12" s="22" t="s">
        <v>67</v>
      </c>
      <c r="T12" s="61">
        <f>($C$5+$D$5+$E$5+$F$5+$G$5+$H$5+$I$5+$J$5+$K$5)*Table53[[#This Row],[Locality''s Allocation Percentage ]]</f>
        <v>33954.021231242099</v>
      </c>
      <c r="U12" s="61">
        <f>($C$6+$D$6+$E$6+$F$6+$G$6+$H$6+$I$6+$J$6+$K$6)*Table53[[#This Row],[Locality''s Allocation Percentage ]]</f>
        <v>214947.46577007329</v>
      </c>
      <c r="V12" s="61">
        <f>($C$7+$D$7+$E$7+$F$7+$G$7+$H$7+$I$7+$J$7+$K$7)*Table53[[#This Row],[Locality''s Allocation Percentage ]]</f>
        <v>265085.22601631534</v>
      </c>
      <c r="W12" s="61">
        <f>($C$8+$D$8+$E$8+$F$8+$G$8+$H$8+$I$8+$J$8+$K$8)*Table53[[#This Row],[Locality''s Allocation Percentage ]]</f>
        <v>101659.5973312907</v>
      </c>
      <c r="X12" s="61">
        <f>($C$9+$D$9+$E$9+$F$9+$G$9+$H$9+$I$9+$J$9+$K$9)*Table53[[#This Row],[Locality''s Allocation Percentage ]]</f>
        <v>109239.80694207661</v>
      </c>
      <c r="Y12" s="61">
        <f>($C$10+$D$10+$E$10+$F$10+$G$10+$H$10+$I$10+$J$10+$K$10)*Table53[[#This Row],[Locality''s Allocation Percentage ]]</f>
        <v>116095.85006203967</v>
      </c>
      <c r="Z12" s="61">
        <f>($C$11+$D$11+$E$11+$F$11+$G$11+$H$11+$I$11+$J$11+$K$11)*Table53[[#This Row],[Locality''s Allocation Percentage ]]</f>
        <v>88449.077175465922</v>
      </c>
      <c r="AA12" s="61">
        <f>($C$12+$D$12+$E$12+$F$12+$G$12+$H$12+$I$12+$J$12+$K$12)*Table53[[#This Row],[Locality''s Allocation Percentage ]]</f>
        <v>123962.02596424732</v>
      </c>
      <c r="AB12" s="61">
        <f>($C$13+$D$13+$E$13+$F$13+$G$13+$H$13+$I$13+$J$13+$K$13)*Table53[[#This Row],[Locality''s Allocation Percentage ]]</f>
        <v>124526.04518732279</v>
      </c>
      <c r="AC12" s="61">
        <f>($C$14+$D$14+$E$14+$F$14+$G$14+$H$14+$I$14+$J$14+$K$14)*Table53[[#This Row],[Locality''s Allocation Percentage ]]</f>
        <v>116592.85449607173</v>
      </c>
      <c r="AD12" s="61">
        <f>($C$15+$D$15+$E$15+$F$15+$G$15+$H$15+$I$15+$J$15+$K$15)*Table53[[#This Row],[Locality''s Allocation Percentage ]]</f>
        <v>108198.8828569445</v>
      </c>
      <c r="AE12" s="61">
        <f>($C$16+$D$16+$E$16+$F$16+$G$16+$H$16+$I$16+$J$16+$K$16)*Table53[[#This Row],[Locality''s Allocation Percentage ]]</f>
        <v>99469.94077647505</v>
      </c>
      <c r="AF12" s="61">
        <f>($C$17+$D$17+$E$17+$F$17+$G$17+$H$17+$I$17+$J$17+$K$17)*Table53[[#This Row],[Locality''s Allocation Percentage ]]</f>
        <v>75910.102577747588</v>
      </c>
      <c r="AG12" s="61">
        <f>($C$18+$D$18+$E$18+$F$18+$G$18+$H$18+$I$18+$J$18+$K$18)*Table53[[#This Row],[Locality''s Allocation Percentage ]]</f>
        <v>75910.102577747588</v>
      </c>
      <c r="AH12" s="61">
        <f>($C$19+$D$19+$E$19+$F$19+$G$19+$H$19+$I$19+$J$19+$K$19)*Table53[[#This Row],[Locality''s Allocation Percentage ]]</f>
        <v>75910.102577747588</v>
      </c>
      <c r="AI12" s="61">
        <f>($C$20+$D$20+$E$20+$F$20+$G$20+$H$20+$I$20+$J$20+$K$20)*Table53[[#This Row],[Locality''s Allocation Percentage ]]</f>
        <v>63070.279444038984</v>
      </c>
      <c r="AJ12" s="61">
        <f>($C$21+$D$21+$E$21+$F$21+$G$21+$H$21+$I$21+$J$21+$K$21)*Table53[[#This Row],[Locality''s Allocation Percentage ]]</f>
        <v>63070.279444038984</v>
      </c>
      <c r="AK12" s="61">
        <f>($C$22+$D$22+$E$22+$F$22+$G$22+$H$22+$I$22+$J$22+$K$22)*Table53[[#This Row],[Locality''s Allocation Percentage ]]</f>
        <v>44156.584176631768</v>
      </c>
      <c r="AL12" s="61"/>
      <c r="AM12" s="61"/>
      <c r="AN12" s="61">
        <f>$L$6*Table53[[#This Row],[Locality''s Allocation Percentage ]]</f>
        <v>77779.274416395376</v>
      </c>
      <c r="AO12" s="61">
        <f>$L$7*Table53[[#This Row],[Locality''s Allocation Percentage ]]</f>
        <v>90033.511581801897</v>
      </c>
      <c r="AP12" s="61">
        <f>$L$8*Table53[[#This Row],[Locality''s Allocation Percentage ]]</f>
        <v>35060.326339311439</v>
      </c>
      <c r="AQ12" s="61">
        <f>$L$9*Table53[[#This Row],[Locality''s Allocation Percentage ]]</f>
        <v>38466.712333664313</v>
      </c>
      <c r="AR12" s="61">
        <f>$L$10*Table53[[#This Row],[Locality''s Allocation Percentage ]]</f>
        <v>40980.594810984097</v>
      </c>
      <c r="AS12" s="61">
        <f>$L$11*Table53[[#This Row],[Locality''s Allocation Percentage ]]</f>
        <v>30843.44475257372</v>
      </c>
      <c r="AT12" s="61">
        <f>$L$12*Table53[[#This Row],[Locality''s Allocation Percentage ]]</f>
        <v>43864.85930846024</v>
      </c>
      <c r="AU12" s="61">
        <f>$L$13*Table53[[#This Row],[Locality''s Allocation Percentage ]]</f>
        <v>44128.127841316084</v>
      </c>
      <c r="AV12" s="61">
        <f>$L$14*Table53[[#This Row],[Locality''s Allocation Percentage ]]</f>
        <v>41040.008338753199</v>
      </c>
      <c r="AW12" s="61">
        <f>$L$15*Table53[[#This Row],[Locality''s Allocation Percentage ]]</f>
        <v>37963.114808580598</v>
      </c>
      <c r="AX12" s="61">
        <f>$L$16*Table53[[#This Row],[Locality''s Allocation Percentage ]]</f>
        <v>34762.502712408459</v>
      </c>
      <c r="AY12" s="61">
        <f>$L$17*Table53[[#This Row],[Locality''s Allocation Percentage ]]</f>
        <v>27140.20211870252</v>
      </c>
      <c r="AZ12" s="61">
        <f>$L$18*Table53[[#This Row],[Locality''s Allocation Percentage ]]</f>
        <v>27140.20211870252</v>
      </c>
      <c r="BA12" s="61">
        <f>$L$19*Table53[[#This Row],[Locality''s Allocation Percentage ]]</f>
        <v>27140.20211870252</v>
      </c>
      <c r="BB12" s="61">
        <f>$L$20*Table53[[#This Row],[Locality''s Allocation Percentage ]]</f>
        <v>22432.266969676031</v>
      </c>
      <c r="BC12" s="61">
        <f>$L$21*Table53[[#This Row],[Locality''s Allocation Percentage ]]</f>
        <v>22432.266969676031</v>
      </c>
      <c r="BD12" s="61">
        <f>$L$22*Table53[[#This Row],[Locality''s Allocation Percentage ]]</f>
        <v>16190.747531431647</v>
      </c>
      <c r="BE12" s="61"/>
      <c r="BF12" s="61">
        <f t="shared" si="3"/>
        <v>0</v>
      </c>
      <c r="BG12" s="61">
        <f t="shared" si="3"/>
        <v>19444.818604098844</v>
      </c>
      <c r="BH12" s="61">
        <f t="shared" si="0"/>
        <v>22508.377895450474</v>
      </c>
      <c r="BI12" s="61">
        <f t="shared" si="0"/>
        <v>8765.0815848278598</v>
      </c>
      <c r="BJ12" s="61">
        <f t="shared" si="0"/>
        <v>9616.6780834160782</v>
      </c>
      <c r="BK12" s="61">
        <f t="shared" si="0"/>
        <v>10245.148702746024</v>
      </c>
      <c r="BL12" s="61">
        <f t="shared" si="0"/>
        <v>7710.8611881434299</v>
      </c>
      <c r="BM12" s="61">
        <f t="shared" si="0"/>
        <v>10966.21482711506</v>
      </c>
      <c r="BN12" s="61">
        <f t="shared" si="0"/>
        <v>11032.031960329021</v>
      </c>
      <c r="BO12" s="61">
        <f t="shared" si="0"/>
        <v>10260.0020846883</v>
      </c>
      <c r="BP12" s="61">
        <f t="shared" si="0"/>
        <v>9490.7787021451495</v>
      </c>
      <c r="BQ12" s="61">
        <f t="shared" si="0"/>
        <v>8690.6256781021148</v>
      </c>
      <c r="BR12" s="61">
        <f t="shared" si="0"/>
        <v>6785.0505296756301</v>
      </c>
      <c r="BS12" s="61">
        <f t="shared" si="0"/>
        <v>6785.0505296756301</v>
      </c>
      <c r="BT12" s="61">
        <f t="shared" si="0"/>
        <v>6785.0505296756301</v>
      </c>
      <c r="BU12" s="61">
        <f t="shared" si="0"/>
        <v>5608.0667424190078</v>
      </c>
      <c r="BV12" s="61">
        <f t="shared" si="0"/>
        <v>5608.0667424190078</v>
      </c>
      <c r="BW12" s="61">
        <f t="shared" si="0"/>
        <v>4047.6868828579118</v>
      </c>
      <c r="BX12" s="61"/>
      <c r="BY12" s="61">
        <f>($C$6+$D$6+$E$6)*Table53[[#This Row],[Locality''s Allocation Percentage ]]</f>
        <v>214947.46577007329</v>
      </c>
      <c r="BZ12" s="61">
        <f>$L$6*Table53[[#This Row],[Locality''s Allocation Percentage ]]</f>
        <v>77779.274416395376</v>
      </c>
      <c r="CA12" s="61">
        <f t="shared" si="4"/>
        <v>19444.818604098844</v>
      </c>
      <c r="CB12" s="76">
        <f>($C$7+$D$7+$E$7)*Table53[[#This Row],[Locality''s Allocation Percentage ]]</f>
        <v>77518.414723261521</v>
      </c>
      <c r="CC12" s="76">
        <f>$L$7*Table53[[#This Row],[Locality''s Allocation Percentage ]]</f>
        <v>90033.511581801897</v>
      </c>
      <c r="CD12" s="76">
        <f t="shared" si="5"/>
        <v>22508.377895450474</v>
      </c>
    </row>
    <row r="13" spans="2:82" s="19" customFormat="1" ht="18" customHeight="1" x14ac:dyDescent="0.25">
      <c r="B13" s="31" t="s">
        <v>70</v>
      </c>
      <c r="C13" s="32">
        <f t="shared" si="8"/>
        <v>6290929.0926684234</v>
      </c>
      <c r="D13" s="32">
        <f t="shared" si="8"/>
        <v>1045371.831263311</v>
      </c>
      <c r="E13" s="32">
        <v>0</v>
      </c>
      <c r="F13" s="32">
        <f t="shared" ref="F13" si="23">F42*0.225</f>
        <v>1537687.9922727272</v>
      </c>
      <c r="G13" s="32">
        <f t="shared" ref="G13:H13" si="24">G42*0.225</f>
        <v>1563302.1640909088</v>
      </c>
      <c r="H13" s="32">
        <f t="shared" si="24"/>
        <v>0</v>
      </c>
      <c r="I13" s="25">
        <f t="shared" si="6"/>
        <v>2980747.5160909086</v>
      </c>
      <c r="J13" s="25">
        <f t="shared" si="7"/>
        <v>1495111.0954545455</v>
      </c>
      <c r="K13" s="25">
        <f t="shared" si="15"/>
        <v>0</v>
      </c>
      <c r="L13" s="32">
        <f t="shared" si="16"/>
        <v>5284752.881441636</v>
      </c>
      <c r="M13" s="34">
        <f t="shared" si="2"/>
        <v>20197902.573282462</v>
      </c>
      <c r="N13" s="35">
        <f>N11-C11</f>
        <v>3310957.6498212228</v>
      </c>
      <c r="P13" s="28" t="s">
        <v>224</v>
      </c>
      <c r="Q13" s="29">
        <v>3.7000370003699998E-4</v>
      </c>
      <c r="S13" s="30" t="s">
        <v>69</v>
      </c>
      <c r="T13" s="61">
        <f>($C$5+$D$5+$E$5+$F$5+$G$5+$H$5+$I$5+$J$5+$K$5)*Table53[[#This Row],[Locality''s Allocation Percentage ]]</f>
        <v>1504.549443779588</v>
      </c>
      <c r="U13" s="61">
        <f>($C$6+$D$6+$E$6+$F$6+$G$6+$H$6+$I$6+$J$6+$K$6)*Table53[[#This Row],[Locality''s Allocation Percentage ]]</f>
        <v>9524.6182437038351</v>
      </c>
      <c r="V13" s="61">
        <f>($C$7+$D$7+$E$7+$F$7+$G$7+$H$7+$I$7+$J$7+$K$7)*Table53[[#This Row],[Locality''s Allocation Percentage ]]</f>
        <v>11746.291452219946</v>
      </c>
      <c r="W13" s="61">
        <f>($C$8+$D$8+$E$8+$F$8+$G$8+$H$8+$I$8+$J$8+$K$8)*Table53[[#This Row],[Locality''s Allocation Percentage ]]</f>
        <v>4504.6767679733548</v>
      </c>
      <c r="X13" s="61">
        <f>($C$9+$D$9+$E$9+$F$9+$G$9+$H$9+$I$9+$J$9+$K$9)*Table53[[#This Row],[Locality''s Allocation Percentage ]]</f>
        <v>4840.5662956369215</v>
      </c>
      <c r="Y13" s="61">
        <f>($C$10+$D$10+$E$10+$F$10+$G$10+$H$10+$I$10+$J$10+$K$10)*Table53[[#This Row],[Locality''s Allocation Percentage ]]</f>
        <v>5144.3670087370801</v>
      </c>
      <c r="Z13" s="61">
        <f>($C$11+$D$11+$E$11+$F$11+$G$11+$H$11+$I$11+$J$11+$K$11)*Table53[[#This Row],[Locality''s Allocation Percentage ]]</f>
        <v>3919.300425739204</v>
      </c>
      <c r="AA13" s="61">
        <f>($C$12+$D$12+$E$12+$F$12+$G$12+$H$12+$I$12+$J$12+$K$12)*Table53[[#This Row],[Locality''s Allocation Percentage ]]</f>
        <v>5492.9280966193355</v>
      </c>
      <c r="AB13" s="61">
        <f>($C$13+$D$13+$E$13+$F$13+$G$13+$H$13+$I$13+$J$13+$K$13)*Table53[[#This Row],[Locality''s Allocation Percentage ]]</f>
        <v>5517.9205651867514</v>
      </c>
      <c r="AC13" s="61">
        <f>($C$14+$D$14+$E$14+$F$14+$G$14+$H$14+$I$14+$J$14+$K$14)*Table53[[#This Row],[Locality''s Allocation Percentage ]]</f>
        <v>5166.3899597061654</v>
      </c>
      <c r="AD13" s="61">
        <f>($C$15+$D$15+$E$15+$F$15+$G$15+$H$15+$I$15+$J$15+$K$15)*Table53[[#This Row],[Locality''s Allocation Percentage ]]</f>
        <v>4794.4415158166967</v>
      </c>
      <c r="AE13" s="61">
        <f>($C$16+$D$16+$E$16+$F$16+$G$16+$H$16+$I$16+$J$16+$K$16)*Table53[[#This Row],[Locality''s Allocation Percentage ]]</f>
        <v>4407.6500703348174</v>
      </c>
      <c r="AF13" s="61">
        <f>($C$17+$D$17+$E$17+$F$17+$G$17+$H$17+$I$17+$J$17+$K$17)*Table53[[#This Row],[Locality''s Allocation Percentage ]]</f>
        <v>3363.6811920678533</v>
      </c>
      <c r="AG13" s="61">
        <f>($C$18+$D$18+$E$18+$F$18+$G$18+$H$18+$I$18+$J$18+$K$18)*Table53[[#This Row],[Locality''s Allocation Percentage ]]</f>
        <v>3363.6811920678533</v>
      </c>
      <c r="AH13" s="61">
        <f>($C$19+$D$19+$E$19+$F$19+$G$19+$H$19+$I$19+$J$19+$K$19)*Table53[[#This Row],[Locality''s Allocation Percentage ]]</f>
        <v>3363.6811920678533</v>
      </c>
      <c r="AI13" s="61">
        <f>($C$20+$D$20+$E$20+$F$20+$G$20+$H$20+$I$20+$J$20+$K$20)*Table53[[#This Row],[Locality''s Allocation Percentage ]]</f>
        <v>2794.7309454244783</v>
      </c>
      <c r="AJ13" s="61">
        <f>($C$21+$D$21+$E$21+$F$21+$G$21+$H$21+$I$21+$J$21+$K$21)*Table53[[#This Row],[Locality''s Allocation Percentage ]]</f>
        <v>2794.7309454244783</v>
      </c>
      <c r="AK13" s="61">
        <f>($C$22+$D$22+$E$22+$F$22+$G$22+$H$22+$I$22+$J$22+$K$22)*Table53[[#This Row],[Locality''s Allocation Percentage ]]</f>
        <v>1956.6390593238002</v>
      </c>
      <c r="AL13" s="61"/>
      <c r="AM13" s="61"/>
      <c r="AN13" s="61">
        <f>$L$6*Table53[[#This Row],[Locality''s Allocation Percentage ]]</f>
        <v>3446.5067705468564</v>
      </c>
      <c r="AO13" s="61">
        <f>$L$7*Table53[[#This Row],[Locality''s Allocation Percentage ]]</f>
        <v>3989.5088964391207</v>
      </c>
      <c r="AP13" s="61">
        <f>$L$8*Table53[[#This Row],[Locality''s Allocation Percentage ]]</f>
        <v>1553.5713467718822</v>
      </c>
      <c r="AQ13" s="61">
        <f>$L$9*Table53[[#This Row],[Locality''s Allocation Percentage ]]</f>
        <v>1704.5130016114704</v>
      </c>
      <c r="AR13" s="61">
        <f>$L$10*Table53[[#This Row],[Locality''s Allocation Percentage ]]</f>
        <v>1815.9065964148617</v>
      </c>
      <c r="AS13" s="61">
        <f>$L$11*Table53[[#This Row],[Locality''s Allocation Percentage ]]</f>
        <v>1366.7155159823069</v>
      </c>
      <c r="AT13" s="61">
        <f>$L$12*Table53[[#This Row],[Locality''s Allocation Percentage ]]</f>
        <v>1943.7123286383553</v>
      </c>
      <c r="AU13" s="61">
        <f>$L$13*Table53[[#This Row],[Locality''s Allocation Percentage ]]</f>
        <v>1955.3781199146024</v>
      </c>
      <c r="AV13" s="61">
        <f>$L$14*Table53[[#This Row],[Locality''s Allocation Percentage ]]</f>
        <v>1818.5392916573251</v>
      </c>
      <c r="AW13" s="61">
        <f>$L$15*Table53[[#This Row],[Locality''s Allocation Percentage ]]</f>
        <v>1682.1979016975813</v>
      </c>
      <c r="AX13" s="61">
        <f>$L$16*Table53[[#This Row],[Locality''s Allocation Percentage ]]</f>
        <v>1540.3743716875586</v>
      </c>
      <c r="AY13" s="61">
        <f>$L$17*Table53[[#This Row],[Locality''s Allocation Percentage ]]</f>
        <v>1202.6197346011879</v>
      </c>
      <c r="AZ13" s="61">
        <f>$L$18*Table53[[#This Row],[Locality''s Allocation Percentage ]]</f>
        <v>1202.6197346011879</v>
      </c>
      <c r="BA13" s="61">
        <f>$L$19*Table53[[#This Row],[Locality''s Allocation Percentage ]]</f>
        <v>1202.6197346011879</v>
      </c>
      <c r="BB13" s="61">
        <f>$L$20*Table53[[#This Row],[Locality''s Allocation Percentage ]]</f>
        <v>994.00464416528393</v>
      </c>
      <c r="BC13" s="61">
        <f>$L$21*Table53[[#This Row],[Locality''s Allocation Percentage ]]</f>
        <v>994.00464416528393</v>
      </c>
      <c r="BD13" s="61">
        <f>$L$22*Table53[[#This Row],[Locality''s Allocation Percentage ]]</f>
        <v>717.4343217520601</v>
      </c>
      <c r="BE13" s="61"/>
      <c r="BF13" s="61">
        <f t="shared" si="3"/>
        <v>0</v>
      </c>
      <c r="BG13" s="61">
        <f t="shared" si="3"/>
        <v>861.6266926367141</v>
      </c>
      <c r="BH13" s="61">
        <f t="shared" si="0"/>
        <v>997.37722410978017</v>
      </c>
      <c r="BI13" s="61">
        <f t="shared" si="0"/>
        <v>388.39283669297055</v>
      </c>
      <c r="BJ13" s="61">
        <f t="shared" si="0"/>
        <v>426.12825040286759</v>
      </c>
      <c r="BK13" s="61">
        <f t="shared" si="0"/>
        <v>453.97664910371543</v>
      </c>
      <c r="BL13" s="61">
        <f t="shared" si="0"/>
        <v>341.67887899557672</v>
      </c>
      <c r="BM13" s="61">
        <f t="shared" si="0"/>
        <v>485.92808215958883</v>
      </c>
      <c r="BN13" s="61">
        <f t="shared" si="0"/>
        <v>488.8445299786506</v>
      </c>
      <c r="BO13" s="61">
        <f t="shared" si="0"/>
        <v>454.63482291433127</v>
      </c>
      <c r="BP13" s="61">
        <f t="shared" si="0"/>
        <v>420.54947542439533</v>
      </c>
      <c r="BQ13" s="61">
        <f t="shared" si="0"/>
        <v>385.09359292188964</v>
      </c>
      <c r="BR13" s="61">
        <f t="shared" si="0"/>
        <v>300.65493365029698</v>
      </c>
      <c r="BS13" s="61">
        <f t="shared" si="0"/>
        <v>300.65493365029698</v>
      </c>
      <c r="BT13" s="61">
        <f t="shared" si="0"/>
        <v>300.65493365029698</v>
      </c>
      <c r="BU13" s="61">
        <f t="shared" si="0"/>
        <v>248.50116104132098</v>
      </c>
      <c r="BV13" s="61">
        <f t="shared" si="0"/>
        <v>248.50116104132098</v>
      </c>
      <c r="BW13" s="61">
        <f t="shared" si="0"/>
        <v>179.35858043801503</v>
      </c>
      <c r="BX13" s="61"/>
      <c r="BY13" s="61">
        <f>($C$6+$D$6+$E$6)*Table53[[#This Row],[Locality''s Allocation Percentage ]]</f>
        <v>9524.6182437038351</v>
      </c>
      <c r="BZ13" s="61">
        <f>$L$6*Table53[[#This Row],[Locality''s Allocation Percentage ]]</f>
        <v>3446.5067705468564</v>
      </c>
      <c r="CA13" s="61">
        <f t="shared" si="4"/>
        <v>861.6266926367141</v>
      </c>
      <c r="CB13" s="76">
        <f>($C$7+$D$7+$E$7)*Table53[[#This Row],[Locality''s Allocation Percentage ]]</f>
        <v>3434.9477182762544</v>
      </c>
      <c r="CC13" s="76">
        <f>$L$7*Table53[[#This Row],[Locality''s Allocation Percentage ]]</f>
        <v>3989.5088964391207</v>
      </c>
      <c r="CD13" s="76">
        <f t="shared" si="5"/>
        <v>997.37722410978017</v>
      </c>
    </row>
    <row r="14" spans="2:82" s="19" customFormat="1" ht="18" customHeight="1" x14ac:dyDescent="0.25">
      <c r="B14" s="31" t="s">
        <v>72</v>
      </c>
      <c r="C14" s="32">
        <f t="shared" si="8"/>
        <v>6290929.0926684234</v>
      </c>
      <c r="D14" s="32">
        <f t="shared" si="8"/>
        <v>1045371.8363935698</v>
      </c>
      <c r="E14" s="32">
        <v>0</v>
      </c>
      <c r="F14" s="32">
        <f t="shared" ref="F14" si="25">F43*0.225</f>
        <v>1537687.9922727272</v>
      </c>
      <c r="G14" s="32">
        <f t="shared" ref="G14:H14" si="26">G43*0.225</f>
        <v>0</v>
      </c>
      <c r="H14" s="32">
        <f t="shared" si="26"/>
        <v>0</v>
      </c>
      <c r="I14" s="25">
        <f t="shared" si="6"/>
        <v>2823996.9992727269</v>
      </c>
      <c r="J14" s="25">
        <f t="shared" si="7"/>
        <v>2265090.5545454542</v>
      </c>
      <c r="K14" s="25">
        <f t="shared" si="15"/>
        <v>0</v>
      </c>
      <c r="L14" s="32">
        <f t="shared" si="16"/>
        <v>4914921.9088227311</v>
      </c>
      <c r="M14" s="34">
        <f t="shared" si="2"/>
        <v>18877998.383975632</v>
      </c>
      <c r="P14" s="36" t="s">
        <v>225</v>
      </c>
      <c r="Q14" s="37">
        <v>7.7700777007770096E-3</v>
      </c>
      <c r="S14" s="22" t="s">
        <v>71</v>
      </c>
      <c r="T14" s="61">
        <f>($C$5+$D$5+$E$5+$F$5+$G$5+$H$5+$I$5+$J$5+$K$5)*Table53[[#This Row],[Locality''s Allocation Percentage ]]</f>
        <v>31595.538319371386</v>
      </c>
      <c r="U14" s="61">
        <f>($C$6+$D$6+$E$6+$F$6+$G$6+$H$6+$I$6+$J$6+$K$6)*Table53[[#This Row],[Locality''s Allocation Percentage ]]</f>
        <v>200016.98311778079</v>
      </c>
      <c r="V14" s="61">
        <f>($C$7+$D$7+$E$7+$F$7+$G$7+$H$7+$I$7+$J$7+$K$7)*Table53[[#This Row],[Locality''s Allocation Percentage ]]</f>
        <v>246672.1204966192</v>
      </c>
      <c r="W14" s="61">
        <f>($C$8+$D$8+$E$8+$F$8+$G$8+$H$8+$I$8+$J$8+$K$8)*Table53[[#This Row],[Locality''s Allocation Percentage ]]</f>
        <v>94598.212127440565</v>
      </c>
      <c r="X14" s="61">
        <f>($C$9+$D$9+$E$9+$F$9+$G$9+$H$9+$I$9+$J$9+$K$9)*Table53[[#This Row],[Locality''s Allocation Percentage ]]</f>
        <v>101651.89220837549</v>
      </c>
      <c r="Y14" s="61">
        <f>($C$10+$D$10+$E$10+$F$10+$G$10+$H$10+$I$10+$J$10+$K$10)*Table53[[#This Row],[Locality''s Allocation Percentage ]]</f>
        <v>108031.70718347882</v>
      </c>
      <c r="Z14" s="61">
        <f>($C$11+$D$11+$E$11+$F$11+$G$11+$H$11+$I$11+$J$11+$K$11)*Table53[[#This Row],[Locality''s Allocation Percentage ]]</f>
        <v>82305.308940523391</v>
      </c>
      <c r="AA14" s="61">
        <f>($C$12+$D$12+$E$12+$F$12+$G$12+$H$12+$I$12+$J$12+$K$12)*Table53[[#This Row],[Locality''s Allocation Percentage ]]</f>
        <v>115351.49002900621</v>
      </c>
      <c r="AB14" s="61">
        <f>($C$13+$D$13+$E$13+$F$13+$G$13+$H$13+$I$13+$J$13+$K$13)*Table53[[#This Row],[Locality''s Allocation Percentage ]]</f>
        <v>115876.33186892193</v>
      </c>
      <c r="AC14" s="61">
        <f>($C$14+$D$14+$E$14+$F$14+$G$14+$H$14+$I$14+$J$14+$K$14)*Table53[[#This Row],[Locality''s Allocation Percentage ]]</f>
        <v>108494.18915382962</v>
      </c>
      <c r="AD14" s="61">
        <f>($C$15+$D$15+$E$15+$F$15+$G$15+$H$15+$I$15+$J$15+$K$15)*Table53[[#This Row],[Locality''s Allocation Percentage ]]</f>
        <v>100683.27183215076</v>
      </c>
      <c r="AE14" s="61">
        <f>($C$16+$D$16+$E$16+$F$16+$G$16+$H$16+$I$16+$J$16+$K$16)*Table53[[#This Row],[Locality''s Allocation Percentage ]]</f>
        <v>92560.651477031279</v>
      </c>
      <c r="AF14" s="61">
        <f>($C$17+$D$17+$E$17+$F$17+$G$17+$H$17+$I$17+$J$17+$K$17)*Table53[[#This Row],[Locality''s Allocation Percentage ]]</f>
        <v>70637.305033425015</v>
      </c>
      <c r="AG14" s="61">
        <f>($C$18+$D$18+$E$18+$F$18+$G$18+$H$18+$I$18+$J$18+$K$18)*Table53[[#This Row],[Locality''s Allocation Percentage ]]</f>
        <v>70637.305033425015</v>
      </c>
      <c r="AH14" s="61">
        <f>($C$19+$D$19+$E$19+$F$19+$G$19+$H$19+$I$19+$J$19+$K$19)*Table53[[#This Row],[Locality''s Allocation Percentage ]]</f>
        <v>70637.305033425015</v>
      </c>
      <c r="AI14" s="61">
        <f>($C$20+$D$20+$E$20+$F$20+$G$20+$H$20+$I$20+$J$20+$K$20)*Table53[[#This Row],[Locality''s Allocation Percentage ]]</f>
        <v>58689.349853914122</v>
      </c>
      <c r="AJ14" s="61">
        <f>($C$21+$D$21+$E$21+$F$21+$G$21+$H$21+$I$21+$J$21+$K$21)*Table53[[#This Row],[Locality''s Allocation Percentage ]]</f>
        <v>58689.349853914122</v>
      </c>
      <c r="AK14" s="61">
        <f>($C$22+$D$22+$E$22+$F$22+$G$22+$H$22+$I$22+$J$22+$K$22)*Table53[[#This Row],[Locality''s Allocation Percentage ]]</f>
        <v>41089.420245799862</v>
      </c>
      <c r="AL14" s="61"/>
      <c r="AM14" s="61"/>
      <c r="AN14" s="61">
        <f>$L$6*Table53[[#This Row],[Locality''s Allocation Percentage ]]</f>
        <v>72376.642181484087</v>
      </c>
      <c r="AO14" s="61">
        <f>$L$7*Table53[[#This Row],[Locality''s Allocation Percentage ]]</f>
        <v>83779.686825221652</v>
      </c>
      <c r="AP14" s="61">
        <f>$L$8*Table53[[#This Row],[Locality''s Allocation Percentage ]]</f>
        <v>32624.998282209566</v>
      </c>
      <c r="AQ14" s="61">
        <f>$L$9*Table53[[#This Row],[Locality''s Allocation Percentage ]]</f>
        <v>35794.773033840924</v>
      </c>
      <c r="AR14" s="61">
        <f>$L$10*Table53[[#This Row],[Locality''s Allocation Percentage ]]</f>
        <v>38134.038524712145</v>
      </c>
      <c r="AS14" s="61">
        <f>$L$11*Table53[[#This Row],[Locality''s Allocation Percentage ]]</f>
        <v>28701.025835628479</v>
      </c>
      <c r="AT14" s="61">
        <f>$L$12*Table53[[#This Row],[Locality''s Allocation Percentage ]]</f>
        <v>40817.958901405516</v>
      </c>
      <c r="AU14" s="61">
        <f>$L$13*Table53[[#This Row],[Locality''s Allocation Percentage ]]</f>
        <v>41062.940518206706</v>
      </c>
      <c r="AV14" s="61">
        <f>$L$14*Table53[[#This Row],[Locality''s Allocation Percentage ]]</f>
        <v>38189.32512480388</v>
      </c>
      <c r="AW14" s="61">
        <f>$L$15*Table53[[#This Row],[Locality''s Allocation Percentage ]]</f>
        <v>35326.155935649251</v>
      </c>
      <c r="AX14" s="61">
        <f>$L$16*Table53[[#This Row],[Locality''s Allocation Percentage ]]</f>
        <v>32347.86180543877</v>
      </c>
      <c r="AY14" s="61">
        <f>$L$17*Table53[[#This Row],[Locality''s Allocation Percentage ]]</f>
        <v>25255.014426624981</v>
      </c>
      <c r="AZ14" s="61">
        <f>$L$18*Table53[[#This Row],[Locality''s Allocation Percentage ]]</f>
        <v>25255.014426624981</v>
      </c>
      <c r="BA14" s="61">
        <f>$L$19*Table53[[#This Row],[Locality''s Allocation Percentage ]]</f>
        <v>25255.014426624981</v>
      </c>
      <c r="BB14" s="61">
        <f>$L$20*Table53[[#This Row],[Locality''s Allocation Percentage ]]</f>
        <v>20874.097527470989</v>
      </c>
      <c r="BC14" s="61">
        <f>$L$21*Table53[[#This Row],[Locality''s Allocation Percentage ]]</f>
        <v>20874.097527470989</v>
      </c>
      <c r="BD14" s="61">
        <f>$L$22*Table53[[#This Row],[Locality''s Allocation Percentage ]]</f>
        <v>15066.120756793282</v>
      </c>
      <c r="BE14" s="61"/>
      <c r="BF14" s="61">
        <f t="shared" si="3"/>
        <v>0</v>
      </c>
      <c r="BG14" s="61">
        <f t="shared" si="3"/>
        <v>18094.160545371022</v>
      </c>
      <c r="BH14" s="61">
        <f t="shared" si="0"/>
        <v>20944.921706305413</v>
      </c>
      <c r="BI14" s="61">
        <f t="shared" si="0"/>
        <v>8156.2495705523916</v>
      </c>
      <c r="BJ14" s="61">
        <f t="shared" si="0"/>
        <v>8948.6932584602309</v>
      </c>
      <c r="BK14" s="61">
        <f t="shared" si="0"/>
        <v>9533.5096311780362</v>
      </c>
      <c r="BL14" s="61">
        <f t="shared" si="0"/>
        <v>7175.2564589071198</v>
      </c>
      <c r="BM14" s="61">
        <f t="shared" si="0"/>
        <v>10204.489725351379</v>
      </c>
      <c r="BN14" s="61">
        <f t="shared" si="0"/>
        <v>10265.735129551676</v>
      </c>
      <c r="BO14" s="61">
        <f t="shared" si="0"/>
        <v>9547.3312812009699</v>
      </c>
      <c r="BP14" s="61">
        <f t="shared" si="0"/>
        <v>8831.5389839123127</v>
      </c>
      <c r="BQ14" s="61">
        <f t="shared" si="0"/>
        <v>8086.9654513596925</v>
      </c>
      <c r="BR14" s="61">
        <f t="shared" si="0"/>
        <v>6313.7536066562452</v>
      </c>
      <c r="BS14" s="61">
        <f t="shared" si="0"/>
        <v>6313.7536066562452</v>
      </c>
      <c r="BT14" s="61">
        <f t="shared" si="0"/>
        <v>6313.7536066562452</v>
      </c>
      <c r="BU14" s="61">
        <f t="shared" si="0"/>
        <v>5218.5243818677473</v>
      </c>
      <c r="BV14" s="61">
        <f t="shared" si="0"/>
        <v>5218.5243818677473</v>
      </c>
      <c r="BW14" s="61">
        <f t="shared" si="0"/>
        <v>3766.5301891983204</v>
      </c>
      <c r="BX14" s="61"/>
      <c r="BY14" s="61">
        <f>($C$6+$D$6+$E$6)*Table53[[#This Row],[Locality''s Allocation Percentage ]]</f>
        <v>200016.98311778079</v>
      </c>
      <c r="BZ14" s="61">
        <f>$L$6*Table53[[#This Row],[Locality''s Allocation Percentage ]]</f>
        <v>72376.642181484087</v>
      </c>
      <c r="CA14" s="61">
        <f t="shared" si="4"/>
        <v>18094.160545371022</v>
      </c>
      <c r="CB14" s="76">
        <f>($C$7+$D$7+$E$7)*Table53[[#This Row],[Locality''s Allocation Percentage ]]</f>
        <v>72133.90208380144</v>
      </c>
      <c r="CC14" s="76">
        <f>$L$7*Table53[[#This Row],[Locality''s Allocation Percentage ]]</f>
        <v>83779.686825221652</v>
      </c>
      <c r="CD14" s="76">
        <f t="shared" si="5"/>
        <v>20944.921706305413</v>
      </c>
    </row>
    <row r="15" spans="2:82" s="19" customFormat="1" ht="18" customHeight="1" x14ac:dyDescent="0.25">
      <c r="B15" s="31" t="s">
        <v>74</v>
      </c>
      <c r="C15" s="32">
        <f t="shared" si="8"/>
        <v>5288160.791711376</v>
      </c>
      <c r="D15" s="32">
        <f t="shared" si="8"/>
        <v>1045371.831263311</v>
      </c>
      <c r="E15" s="32">
        <v>0</v>
      </c>
      <c r="F15" s="32">
        <f t="shared" ref="F15" si="27">F44*0.225</f>
        <v>1537687.9922727272</v>
      </c>
      <c r="G15" s="32">
        <f t="shared" ref="G15:H15" si="28">G44*0.225</f>
        <v>0</v>
      </c>
      <c r="H15" s="32">
        <f t="shared" si="28"/>
        <v>0</v>
      </c>
      <c r="I15" s="25">
        <f t="shared" si="6"/>
        <v>2821509.2934545451</v>
      </c>
      <c r="J15" s="25">
        <f t="shared" si="7"/>
        <v>2265090.5545454542</v>
      </c>
      <c r="K15" s="25">
        <f t="shared" si="15"/>
        <v>0</v>
      </c>
      <c r="L15" s="32">
        <f t="shared" si="16"/>
        <v>4546435.3505907189</v>
      </c>
      <c r="M15" s="34">
        <f t="shared" si="2"/>
        <v>17504255.813838132</v>
      </c>
      <c r="P15" s="28" t="s">
        <v>226</v>
      </c>
      <c r="Q15" s="29">
        <v>1.470014700147E-3</v>
      </c>
      <c r="S15" s="30" t="s">
        <v>73</v>
      </c>
      <c r="T15" s="61">
        <f>($C$5+$D$5+$E$5+$F$5+$G$5+$H$5+$I$5+$J$5+$K$5)*Table53[[#This Row],[Locality''s Allocation Percentage ]]</f>
        <v>5977.5342766378226</v>
      </c>
      <c r="U15" s="61">
        <f>($C$6+$D$6+$E$6+$F$6+$G$6+$H$6+$I$6+$J$6+$K$6)*Table53[[#This Row],[Locality''s Allocation Percentage ]]</f>
        <v>37841.050860120646</v>
      </c>
      <c r="V15" s="61">
        <f>($C$7+$D$7+$E$7+$F$7+$G$7+$H$7+$I$7+$J$7+$K$7)*Table53[[#This Row],[Locality''s Allocation Percentage ]]</f>
        <v>46667.698472333308</v>
      </c>
      <c r="W15" s="61">
        <f>($C$8+$D$8+$E$8+$F$8+$G$8+$H$8+$I$8+$J$8+$K$8)*Table53[[#This Row],[Locality''s Allocation Percentage ]]</f>
        <v>17896.959051137383</v>
      </c>
      <c r="X15" s="61">
        <f>($C$9+$D$9+$E$9+$F$9+$G$9+$H$9+$I$9+$J$9+$K$9)*Table53[[#This Row],[Locality''s Allocation Percentage ]]</f>
        <v>19231.439066449395</v>
      </c>
      <c r="Y15" s="61">
        <f>($C$10+$D$10+$E$10+$F$10+$G$10+$H$10+$I$10+$J$10+$K$10)*Table53[[#This Row],[Locality''s Allocation Percentage ]]</f>
        <v>20438.43108876624</v>
      </c>
      <c r="Z15" s="61">
        <f>($C$11+$D$11+$E$11+$F$11+$G$11+$H$11+$I$11+$J$11+$K$11)*Table53[[#This Row],[Locality''s Allocation Percentage ]]</f>
        <v>15571.274664423325</v>
      </c>
      <c r="AA15" s="61">
        <f>($C$12+$D$12+$E$12+$F$12+$G$12+$H$12+$I$12+$J$12+$K$12)*Table53[[#This Row],[Locality''s Allocation Percentage ]]</f>
        <v>21823.254870352499</v>
      </c>
      <c r="AB15" s="61">
        <f>($C$13+$D$13+$E$13+$F$13+$G$13+$H$13+$I$13+$J$13+$K$13)*Table53[[#This Row],[Locality''s Allocation Percentage ]]</f>
        <v>21922.549272498716</v>
      </c>
      <c r="AC15" s="61">
        <f>($C$14+$D$14+$E$14+$F$14+$G$14+$H$14+$I$14+$J$14+$K$14)*Table53[[#This Row],[Locality''s Allocation Percentage ]]</f>
        <v>20525.927677751522</v>
      </c>
      <c r="AD15" s="61">
        <f>($C$15+$D$15+$E$15+$F$15+$G$15+$H$15+$I$15+$J$15+$K$15)*Table53[[#This Row],[Locality''s Allocation Percentage ]]</f>
        <v>19048.18656283931</v>
      </c>
      <c r="AE15" s="61">
        <f>($C$16+$D$16+$E$16+$F$16+$G$16+$H$16+$I$16+$J$16+$K$16)*Table53[[#This Row],[Locality''s Allocation Percentage ]]</f>
        <v>17511.474603762654</v>
      </c>
      <c r="AF15" s="61">
        <f>($C$17+$D$17+$E$17+$F$17+$G$17+$H$17+$I$17+$J$17+$K$17)*Table53[[#This Row],[Locality''s Allocation Percentage ]]</f>
        <v>13363.814465783093</v>
      </c>
      <c r="AG15" s="61">
        <f>($C$18+$D$18+$E$18+$F$18+$G$18+$H$18+$I$18+$J$18+$K$18)*Table53[[#This Row],[Locality''s Allocation Percentage ]]</f>
        <v>13363.814465783093</v>
      </c>
      <c r="AH15" s="61">
        <f>($C$19+$D$19+$E$19+$F$19+$G$19+$H$19+$I$19+$J$19+$K$19)*Table53[[#This Row],[Locality''s Allocation Percentage ]]</f>
        <v>13363.814465783093</v>
      </c>
      <c r="AI15" s="61">
        <f>($C$20+$D$20+$E$20+$F$20+$G$20+$H$20+$I$20+$J$20+$K$20)*Table53[[#This Row],[Locality''s Allocation Percentage ]]</f>
        <v>11103.390512902657</v>
      </c>
      <c r="AJ15" s="61">
        <f>($C$21+$D$21+$E$21+$F$21+$G$21+$H$21+$I$21+$J$21+$K$21)*Table53[[#This Row],[Locality''s Allocation Percentage ]]</f>
        <v>11103.390512902657</v>
      </c>
      <c r="AK15" s="61">
        <f>($C$22+$D$22+$E$22+$F$22+$G$22+$H$22+$I$22+$J$22+$K$22)*Table53[[#This Row],[Locality''s Allocation Percentage ]]</f>
        <v>7773.674100556721</v>
      </c>
      <c r="AL15" s="61"/>
      <c r="AM15" s="61"/>
      <c r="AN15" s="61">
        <f>$L$6*Table53[[#This Row],[Locality''s Allocation Percentage ]]</f>
        <v>13692.878250551026</v>
      </c>
      <c r="AO15" s="61">
        <f>$L$7*Table53[[#This Row],[Locality''s Allocation Percentage ]]</f>
        <v>15850.211020987859</v>
      </c>
      <c r="AP15" s="61">
        <f>$L$8*Table53[[#This Row],[Locality''s Allocation Percentage ]]</f>
        <v>6172.2969723099104</v>
      </c>
      <c r="AQ15" s="61">
        <f>$L$9*Table53[[#This Row],[Locality''s Allocation Percentage ]]</f>
        <v>6771.984087483409</v>
      </c>
      <c r="AR15" s="61">
        <f>$L$10*Table53[[#This Row],[Locality''s Allocation Percentage ]]</f>
        <v>7214.5478289995863</v>
      </c>
      <c r="AS15" s="61">
        <f>$L$11*Table53[[#This Row],[Locality''s Allocation Percentage ]]</f>
        <v>5429.9238067405167</v>
      </c>
      <c r="AT15" s="61">
        <f>$L$12*Table53[[#This Row],[Locality''s Allocation Percentage ]]</f>
        <v>7722.3165489145476</v>
      </c>
      <c r="AU15" s="61">
        <f>$L$13*Table53[[#This Row],[Locality''s Allocation Percentage ]]</f>
        <v>7768.6644223634212</v>
      </c>
      <c r="AV15" s="61">
        <f>$L$14*Table53[[#This Row],[Locality''s Allocation Percentage ]]</f>
        <v>7225.007456043968</v>
      </c>
      <c r="AW15" s="61">
        <f>$L$15*Table53[[#This Row],[Locality''s Allocation Percentage ]]</f>
        <v>6683.3267986363362</v>
      </c>
      <c r="AX15" s="61">
        <f>$L$16*Table53[[#This Row],[Locality''s Allocation Percentage ]]</f>
        <v>6119.865746974895</v>
      </c>
      <c r="AY15" s="61">
        <f>$L$17*Table53[[#This Row],[Locality''s Allocation Percentage ]]</f>
        <v>4777.97570233445</v>
      </c>
      <c r="AZ15" s="61">
        <f>$L$18*Table53[[#This Row],[Locality''s Allocation Percentage ]]</f>
        <v>4777.97570233445</v>
      </c>
      <c r="BA15" s="61">
        <f>$L$19*Table53[[#This Row],[Locality''s Allocation Percentage ]]</f>
        <v>4777.97570233445</v>
      </c>
      <c r="BB15" s="61">
        <f>$L$20*Table53[[#This Row],[Locality''s Allocation Percentage ]]</f>
        <v>3949.1535862782907</v>
      </c>
      <c r="BC15" s="61">
        <f>$L$21*Table53[[#This Row],[Locality''s Allocation Percentage ]]</f>
        <v>3949.1535862782907</v>
      </c>
      <c r="BD15" s="61">
        <f>$L$22*Table53[[#This Row],[Locality''s Allocation Percentage ]]</f>
        <v>2850.3471702041306</v>
      </c>
      <c r="BE15" s="61"/>
      <c r="BF15" s="61">
        <f t="shared" si="3"/>
        <v>0</v>
      </c>
      <c r="BG15" s="61">
        <f t="shared" si="3"/>
        <v>3423.2195626377566</v>
      </c>
      <c r="BH15" s="61">
        <f t="shared" si="0"/>
        <v>3962.5527552469648</v>
      </c>
      <c r="BI15" s="61">
        <f t="shared" si="0"/>
        <v>1543.0742430774776</v>
      </c>
      <c r="BJ15" s="61">
        <f t="shared" si="0"/>
        <v>1692.9960218708522</v>
      </c>
      <c r="BK15" s="61">
        <f t="shared" si="0"/>
        <v>1803.6369572498966</v>
      </c>
      <c r="BL15" s="61">
        <f t="shared" si="0"/>
        <v>1357.4809516851292</v>
      </c>
      <c r="BM15" s="61">
        <f t="shared" si="0"/>
        <v>1930.5791372286369</v>
      </c>
      <c r="BN15" s="61">
        <f t="shared" si="0"/>
        <v>1942.1661055908553</v>
      </c>
      <c r="BO15" s="61">
        <f t="shared" si="0"/>
        <v>1806.251864010992</v>
      </c>
      <c r="BP15" s="61">
        <f t="shared" si="0"/>
        <v>1670.8316996590841</v>
      </c>
      <c r="BQ15" s="61">
        <f t="shared" si="0"/>
        <v>1529.9664367437238</v>
      </c>
      <c r="BR15" s="61">
        <f t="shared" si="0"/>
        <v>1194.4939255836125</v>
      </c>
      <c r="BS15" s="61">
        <f t="shared" si="0"/>
        <v>1194.4939255836125</v>
      </c>
      <c r="BT15" s="61">
        <f t="shared" si="0"/>
        <v>1194.4939255836125</v>
      </c>
      <c r="BU15" s="61">
        <f t="shared" si="0"/>
        <v>987.28839656957268</v>
      </c>
      <c r="BV15" s="61">
        <f t="shared" si="0"/>
        <v>987.28839656957268</v>
      </c>
      <c r="BW15" s="61">
        <f t="shared" si="0"/>
        <v>712.58679255103266</v>
      </c>
      <c r="BX15" s="61"/>
      <c r="BY15" s="61">
        <f>($C$6+$D$6+$E$6)*Table53[[#This Row],[Locality''s Allocation Percentage ]]</f>
        <v>37841.050860120646</v>
      </c>
      <c r="BZ15" s="61">
        <f>$L$6*Table53[[#This Row],[Locality''s Allocation Percentage ]]</f>
        <v>13692.878250551026</v>
      </c>
      <c r="CA15" s="61">
        <f t="shared" si="4"/>
        <v>3423.2195626377566</v>
      </c>
      <c r="CB15" s="76">
        <f>($C$7+$D$7+$E$7)*Table53[[#This Row],[Locality''s Allocation Percentage ]]</f>
        <v>13646.954448286742</v>
      </c>
      <c r="CC15" s="76">
        <f>$L$7*Table53[[#This Row],[Locality''s Allocation Percentage ]]</f>
        <v>15850.211020987859</v>
      </c>
      <c r="CD15" s="76">
        <f t="shared" si="5"/>
        <v>3962.5527552469648</v>
      </c>
    </row>
    <row r="16" spans="2:82" s="19" customFormat="1" ht="18" customHeight="1" x14ac:dyDescent="0.25">
      <c r="B16" s="31" t="s">
        <v>76</v>
      </c>
      <c r="C16" s="32">
        <f t="shared" si="8"/>
        <v>5288160.791711376</v>
      </c>
      <c r="D16" s="32">
        <f t="shared" si="8"/>
        <v>0</v>
      </c>
      <c r="E16" s="32">
        <v>0</v>
      </c>
      <c r="F16" s="32">
        <f t="shared" ref="F16" si="29">F45*0.225</f>
        <v>1537687.9922727272</v>
      </c>
      <c r="G16" s="32">
        <f t="shared" ref="G16:H16" si="30">G45*0.225</f>
        <v>0</v>
      </c>
      <c r="H16" s="32">
        <f t="shared" si="30"/>
        <v>0</v>
      </c>
      <c r="I16" s="25">
        <f t="shared" si="6"/>
        <v>2821509.2934545451</v>
      </c>
      <c r="J16" s="25">
        <f t="shared" si="7"/>
        <v>2265090.5545454542</v>
      </c>
      <c r="K16" s="25">
        <f t="shared" si="15"/>
        <v>0</v>
      </c>
      <c r="L16" s="32">
        <f t="shared" si="16"/>
        <v>4163132.3457941711</v>
      </c>
      <c r="M16" s="34">
        <f t="shared" si="2"/>
        <v>16075580.977778275</v>
      </c>
      <c r="N16" s="35">
        <f>SUM(N9,N13)</f>
        <v>-467837.13567877747</v>
      </c>
      <c r="P16" s="36" t="s">
        <v>227</v>
      </c>
      <c r="Q16" s="37">
        <v>3.6200362003620001E-3</v>
      </c>
      <c r="S16" s="22" t="s">
        <v>75</v>
      </c>
      <c r="T16" s="61">
        <f>($C$5+$D$5+$E$5+$F$5+$G$5+$H$5+$I$5+$J$5+$K$5)*Table53[[#This Row],[Locality''s Allocation Percentage ]]</f>
        <v>14720.186449951645</v>
      </c>
      <c r="U16" s="61">
        <f>($C$6+$D$6+$E$6+$F$6+$G$6+$H$6+$I$6+$J$6+$K$6)*Table53[[#This Row],[Locality''s Allocation Percentage ]]</f>
        <v>93186.805519480768</v>
      </c>
      <c r="V16" s="61">
        <f>($C$7+$D$7+$E$7+$F$7+$G$7+$H$7+$I$7+$J$7+$K$7)*Table53[[#This Row],[Locality''s Allocation Percentage ]]</f>
        <v>114923.1758298276</v>
      </c>
      <c r="W16" s="61">
        <f>($C$8+$D$8+$E$8+$F$8+$G$8+$H$8+$I$8+$J$8+$K$8)*Table53[[#This Row],[Locality''s Allocation Percentage ]]</f>
        <v>44072.783513685259</v>
      </c>
      <c r="X16" s="61">
        <f>($C$9+$D$9+$E$9+$F$9+$G$9+$H$9+$I$9+$J$9+$K$9)*Table53[[#This Row],[Locality''s Allocation Percentage ]]</f>
        <v>47359.054027582861</v>
      </c>
      <c r="Y16" s="61">
        <f>($C$10+$D$10+$E$10+$F$10+$G$10+$H$10+$I$10+$J$10+$K$10)*Table53[[#This Row],[Locality''s Allocation Percentage ]]</f>
        <v>50331.374517914141</v>
      </c>
      <c r="Z16" s="61">
        <f>($C$11+$D$11+$E$11+$F$11+$G$11+$H$11+$I$11+$J$11+$K$11)*Table53[[#This Row],[Locality''s Allocation Percentage ]]</f>
        <v>38345.587949124107</v>
      </c>
      <c r="AA16" s="61">
        <f>($C$12+$D$12+$E$12+$F$12+$G$12+$H$12+$I$12+$J$12+$K$12)*Table53[[#This Row],[Locality''s Allocation Percentage ]]</f>
        <v>53741.620837194583</v>
      </c>
      <c r="AB16" s="61">
        <f>($C$13+$D$13+$E$13+$F$13+$G$13+$H$13+$I$13+$J$13+$K$13)*Table53[[#This Row],[Locality''s Allocation Percentage ]]</f>
        <v>53986.141745881192</v>
      </c>
      <c r="AC16" s="61">
        <f>($C$14+$D$14+$E$14+$F$14+$G$14+$H$14+$I$14+$J$14+$K$14)*Table53[[#This Row],[Locality''s Allocation Percentage ]]</f>
        <v>50546.842308476538</v>
      </c>
      <c r="AD16" s="61">
        <f>($C$15+$D$15+$E$15+$F$15+$G$15+$H$15+$I$15+$J$15+$K$15)*Table53[[#This Row],[Locality''s Allocation Percentage ]]</f>
        <v>46907.779154747142</v>
      </c>
      <c r="AE16" s="61">
        <f>($C$16+$D$16+$E$16+$F$16+$G$16+$H$16+$I$16+$J$16+$K$16)*Table53[[#This Row],[Locality''s Allocation Percentage ]]</f>
        <v>43123.495282735239</v>
      </c>
      <c r="AF16" s="61">
        <f>($C$17+$D$17+$E$17+$F$17+$G$17+$H$17+$I$17+$J$17+$K$17)*Table53[[#This Row],[Locality''s Allocation Percentage ]]</f>
        <v>32909.529500771969</v>
      </c>
      <c r="AG16" s="61">
        <f>($C$18+$D$18+$E$18+$F$18+$G$18+$H$18+$I$18+$J$18+$K$18)*Table53[[#This Row],[Locality''s Allocation Percentage ]]</f>
        <v>32909.529500771969</v>
      </c>
      <c r="AH16" s="61">
        <f>($C$19+$D$19+$E$19+$F$19+$G$19+$H$19+$I$19+$J$19+$K$19)*Table53[[#This Row],[Locality''s Allocation Percentage ]]</f>
        <v>32909.529500771969</v>
      </c>
      <c r="AI16" s="61">
        <f>($C$20+$D$20+$E$20+$F$20+$G$20+$H$20+$I$20+$J$20+$K$20)*Table53[[#This Row],[Locality''s Allocation Percentage ]]</f>
        <v>27343.043303882736</v>
      </c>
      <c r="AJ16" s="61">
        <f>($C$21+$D$21+$E$21+$F$21+$G$21+$H$21+$I$21+$J$21+$K$21)*Table53[[#This Row],[Locality''s Allocation Percentage ]]</f>
        <v>27343.043303882736</v>
      </c>
      <c r="AK16" s="61">
        <f>($C$22+$D$22+$E$22+$F$22+$G$22+$H$22+$I$22+$J$22+$K$22)*Table53[[#This Row],[Locality''s Allocation Percentage ]]</f>
        <v>19143.333499330154</v>
      </c>
      <c r="AL16" s="61"/>
      <c r="AM16" s="61"/>
      <c r="AN16" s="61">
        <f>$L$6*Table53[[#This Row],[Locality''s Allocation Percentage ]]</f>
        <v>33719.877052377356</v>
      </c>
      <c r="AO16" s="61">
        <f>$L$7*Table53[[#This Row],[Locality''s Allocation Percentage ]]</f>
        <v>39032.492446242213</v>
      </c>
      <c r="AP16" s="61">
        <f>$L$8*Table53[[#This Row],[Locality''s Allocation Percentage ]]</f>
        <v>15199.806149497876</v>
      </c>
      <c r="AQ16" s="61">
        <f>$L$9*Table53[[#This Row],[Locality''s Allocation Percentage ]]</f>
        <v>16676.586664414928</v>
      </c>
      <c r="AR16" s="61">
        <f>$L$10*Table53[[#This Row],[Locality''s Allocation Percentage ]]</f>
        <v>17766.437510869731</v>
      </c>
      <c r="AS16" s="61">
        <f>$L$11*Table53[[#This Row],[Locality''s Allocation Percentage ]]</f>
        <v>13371.64910231338</v>
      </c>
      <c r="AT16" s="61">
        <f>$L$12*Table53[[#This Row],[Locality''s Allocation Percentage ]]</f>
        <v>19016.861161272558</v>
      </c>
      <c r="AU16" s="61">
        <f>$L$13*Table53[[#This Row],[Locality''s Allocation Percentage ]]</f>
        <v>19130.996740786111</v>
      </c>
      <c r="AV16" s="61">
        <f>$L$14*Table53[[#This Row],[Locality''s Allocation Percentage ]]</f>
        <v>17792.19523189059</v>
      </c>
      <c r="AW16" s="61">
        <f>$L$15*Table53[[#This Row],[Locality''s Allocation Percentage ]]</f>
        <v>16458.260551743904</v>
      </c>
      <c r="AX16" s="61">
        <f>$L$16*Table53[[#This Row],[Locality''s Allocation Percentage ]]</f>
        <v>15070.689798672871</v>
      </c>
      <c r="AY16" s="61">
        <f>$L$17*Table53[[#This Row],[Locality''s Allocation Percentage ]]</f>
        <v>11766.171457449462</v>
      </c>
      <c r="AZ16" s="61">
        <f>$L$18*Table53[[#This Row],[Locality''s Allocation Percentage ]]</f>
        <v>11766.171457449462</v>
      </c>
      <c r="BA16" s="61">
        <f>$L$19*Table53[[#This Row],[Locality''s Allocation Percentage ]]</f>
        <v>11766.171457449462</v>
      </c>
      <c r="BB16" s="61">
        <f>$L$20*Table53[[#This Row],[Locality''s Allocation Percentage ]]</f>
        <v>9725.1265185900756</v>
      </c>
      <c r="BC16" s="61">
        <f>$L$21*Table53[[#This Row],[Locality''s Allocation Percentage ]]</f>
        <v>9725.1265185900756</v>
      </c>
      <c r="BD16" s="61">
        <f>$L$22*Table53[[#This Row],[Locality''s Allocation Percentage ]]</f>
        <v>7019.2222830877236</v>
      </c>
      <c r="BE16" s="61"/>
      <c r="BF16" s="61">
        <f t="shared" si="3"/>
        <v>0</v>
      </c>
      <c r="BG16" s="61">
        <f t="shared" si="3"/>
        <v>8429.9692630943391</v>
      </c>
      <c r="BH16" s="61">
        <f t="shared" si="0"/>
        <v>9758.1231115605533</v>
      </c>
      <c r="BI16" s="61">
        <f t="shared" si="0"/>
        <v>3799.9515373744689</v>
      </c>
      <c r="BJ16" s="61">
        <f t="shared" si="0"/>
        <v>4169.1466661037321</v>
      </c>
      <c r="BK16" s="61">
        <f t="shared" si="0"/>
        <v>4441.6093777174328</v>
      </c>
      <c r="BL16" s="61">
        <f t="shared" si="0"/>
        <v>3342.9122755783451</v>
      </c>
      <c r="BM16" s="61">
        <f t="shared" si="0"/>
        <v>4754.2152903181395</v>
      </c>
      <c r="BN16" s="61">
        <f t="shared" si="0"/>
        <v>4782.7491851965278</v>
      </c>
      <c r="BO16" s="61">
        <f t="shared" si="0"/>
        <v>4448.0488079726474</v>
      </c>
      <c r="BP16" s="61">
        <f t="shared" si="0"/>
        <v>4114.5651379359761</v>
      </c>
      <c r="BQ16" s="61">
        <f t="shared" si="0"/>
        <v>3767.6724496682177</v>
      </c>
      <c r="BR16" s="61">
        <f t="shared" si="0"/>
        <v>2941.5428643623654</v>
      </c>
      <c r="BS16" s="61">
        <f t="shared" si="0"/>
        <v>2941.5428643623654</v>
      </c>
      <c r="BT16" s="61">
        <f t="shared" si="0"/>
        <v>2941.5428643623654</v>
      </c>
      <c r="BU16" s="61">
        <f t="shared" si="0"/>
        <v>2431.2816296475189</v>
      </c>
      <c r="BV16" s="61">
        <f t="shared" si="0"/>
        <v>2431.2816296475189</v>
      </c>
      <c r="BW16" s="61">
        <f t="shared" si="0"/>
        <v>1754.8055707719309</v>
      </c>
      <c r="BX16" s="61"/>
      <c r="BY16" s="61">
        <f>($C$6+$D$6+$E$6)*Table53[[#This Row],[Locality''s Allocation Percentage ]]</f>
        <v>93186.805519480768</v>
      </c>
      <c r="BZ16" s="61">
        <f>$L$6*Table53[[#This Row],[Locality''s Allocation Percentage ]]</f>
        <v>33719.877052377356</v>
      </c>
      <c r="CA16" s="61">
        <f t="shared" si="4"/>
        <v>8429.9692630943391</v>
      </c>
      <c r="CB16" s="76">
        <f>($C$7+$D$7+$E$7)*Table53[[#This Row],[Locality''s Allocation Percentage ]]</f>
        <v>33606.785784216328</v>
      </c>
      <c r="CC16" s="76">
        <f>$L$7*Table53[[#This Row],[Locality''s Allocation Percentage ]]</f>
        <v>39032.492446242213</v>
      </c>
      <c r="CD16" s="76">
        <f t="shared" si="5"/>
        <v>9758.1231115605533</v>
      </c>
    </row>
    <row r="17" spans="2:82" s="19" customFormat="1" ht="18" customHeight="1" x14ac:dyDescent="0.25">
      <c r="B17" s="31" t="s">
        <v>78</v>
      </c>
      <c r="C17" s="32">
        <f t="shared" si="8"/>
        <v>5288160.791711376</v>
      </c>
      <c r="D17" s="32">
        <f t="shared" si="8"/>
        <v>0</v>
      </c>
      <c r="E17" s="32">
        <v>0</v>
      </c>
      <c r="F17" s="32">
        <f t="shared" ref="F17" si="31">F46*0.225</f>
        <v>1537687.9922727272</v>
      </c>
      <c r="G17" s="32">
        <f t="shared" ref="G17:H17" si="32">G46*0.225</f>
        <v>0</v>
      </c>
      <c r="H17" s="32">
        <f t="shared" si="32"/>
        <v>0</v>
      </c>
      <c r="I17" s="25">
        <f t="shared" si="6"/>
        <v>0</v>
      </c>
      <c r="J17" s="25">
        <f t="shared" si="7"/>
        <v>2265090.5545454542</v>
      </c>
      <c r="K17" s="25">
        <f t="shared" si="15"/>
        <v>0</v>
      </c>
      <c r="L17" s="32">
        <f t="shared" si="16"/>
        <v>3250291.103794171</v>
      </c>
      <c r="M17" s="34">
        <f t="shared" si="2"/>
        <v>12341230.442323728</v>
      </c>
      <c r="P17" s="28" t="s">
        <v>77</v>
      </c>
      <c r="Q17" s="29">
        <v>4.3400434004340002E-3</v>
      </c>
      <c r="S17" s="30" t="s">
        <v>77</v>
      </c>
      <c r="T17" s="61">
        <f>($C$5+$D$5+$E$5+$F$5+$G$5+$H$5+$I$5+$J$5+$K$5)*Table53[[#This Row],[Locality''s Allocation Percentage ]]</f>
        <v>17647.958340549761</v>
      </c>
      <c r="U17" s="61">
        <f>($C$6+$D$6+$E$6+$F$6+$G$6+$H$6+$I$6+$J$6+$K$6)*Table53[[#This Row],[Locality''s Allocation Percentage ]]</f>
        <v>111721.19777749905</v>
      </c>
      <c r="V17" s="61">
        <f>($C$7+$D$7+$E$7+$F$7+$G$7+$H$7+$I$7+$J$7+$K$7)*Table53[[#This Row],[Locality''s Allocation Percentage ]]</f>
        <v>137780.82406117453</v>
      </c>
      <c r="W17" s="61">
        <f>($C$8+$D$8+$E$8+$F$8+$G$8+$H$8+$I$8+$J$8+$K$8)*Table53[[#This Row],[Locality''s Allocation Percentage ]]</f>
        <v>52838.641008119899</v>
      </c>
      <c r="X17" s="61">
        <f>($C$9+$D$9+$E$9+$F$9+$G$9+$H$9+$I$9+$J$9+$K$9)*Table53[[#This Row],[Locality''s Allocation Percentage ]]</f>
        <v>56778.534386660118</v>
      </c>
      <c r="Y17" s="61">
        <f>($C$10+$D$10+$E$10+$F$10+$G$10+$H$10+$I$10+$J$10+$K$10)*Table53[[#This Row],[Locality''s Allocation Percentage ]]</f>
        <v>60342.034643024141</v>
      </c>
      <c r="Z17" s="61">
        <f>($C$11+$D$11+$E$11+$F$11+$G$11+$H$11+$I$11+$J$11+$K$11)*Table53[[#This Row],[Locality''s Allocation Percentage ]]</f>
        <v>45972.334723535532</v>
      </c>
      <c r="AA17" s="61">
        <f>($C$12+$D$12+$E$12+$F$12+$G$12+$H$12+$I$12+$J$12+$K$12)*Table53[[#This Row],[Locality''s Allocation Percentage ]]</f>
        <v>64430.56199818357</v>
      </c>
      <c r="AB17" s="61">
        <f>($C$13+$D$13+$E$13+$F$13+$G$13+$H$13+$I$13+$J$13+$K$13)*Table53[[#This Row],[Locality''s Allocation Percentage ]]</f>
        <v>64723.716899758118</v>
      </c>
      <c r="AC17" s="61">
        <f>($C$14+$D$14+$E$14+$F$14+$G$14+$H$14+$I$14+$J$14+$K$14)*Table53[[#This Row],[Locality''s Allocation Percentage ]]</f>
        <v>60600.357905742596</v>
      </c>
      <c r="AD17" s="61">
        <f>($C$15+$D$15+$E$15+$F$15+$G$15+$H$15+$I$15+$J$15+$K$15)*Table53[[#This Row],[Locality''s Allocation Percentage ]]</f>
        <v>56237.50318552558</v>
      </c>
      <c r="AE17" s="61">
        <f>($C$16+$D$16+$E$16+$F$16+$G$16+$H$16+$I$16+$J$16+$K$16)*Table53[[#This Row],[Locality''s Allocation Percentage ]]</f>
        <v>51700.544068251642</v>
      </c>
      <c r="AF17" s="61">
        <f>($C$17+$D$17+$E$17+$F$17+$G$17+$H$17+$I$17+$J$17+$K$17)*Table53[[#This Row],[Locality''s Allocation Percentage ]]</f>
        <v>39455.071279931042</v>
      </c>
      <c r="AG17" s="61">
        <f>($C$18+$D$18+$E$18+$F$18+$G$18+$H$18+$I$18+$J$18+$K$18)*Table53[[#This Row],[Locality''s Allocation Percentage ]]</f>
        <v>39455.071279931042</v>
      </c>
      <c r="AH17" s="61">
        <f>($C$19+$D$19+$E$19+$F$19+$G$19+$H$19+$I$19+$J$19+$K$19)*Table53[[#This Row],[Locality''s Allocation Percentage ]]</f>
        <v>39455.071279931042</v>
      </c>
      <c r="AI17" s="61">
        <f>($C$20+$D$20+$E$20+$F$20+$G$20+$H$20+$I$20+$J$20+$K$20)*Table53[[#This Row],[Locality''s Allocation Percentage ]]</f>
        <v>32781.438657141181</v>
      </c>
      <c r="AJ17" s="61">
        <f>($C$21+$D$21+$E$21+$F$21+$G$21+$H$21+$I$21+$J$21+$K$21)*Table53[[#This Row],[Locality''s Allocation Percentage ]]</f>
        <v>32781.438657141181</v>
      </c>
      <c r="AK17" s="61">
        <f>($C$22+$D$22+$E$22+$F$22+$G$22+$H$22+$I$22+$J$22+$K$22)*Table53[[#This Row],[Locality''s Allocation Percentage ]]</f>
        <v>22950.847344500795</v>
      </c>
      <c r="AL17" s="61"/>
      <c r="AM17" s="61"/>
      <c r="AN17" s="61">
        <f>$L$6*Table53[[#This Row],[Locality''s Allocation Percentage ]]</f>
        <v>40426.592930198269</v>
      </c>
      <c r="AO17" s="61">
        <f>$L$7*Table53[[#This Row],[Locality''s Allocation Percentage ]]</f>
        <v>46795.861109583209</v>
      </c>
      <c r="AP17" s="61">
        <f>$L$8*Table53[[#This Row],[Locality''s Allocation Percentage ]]</f>
        <v>18222.972013486404</v>
      </c>
      <c r="AQ17" s="61">
        <f>$L$9*Table53[[#This Row],[Locality''s Allocation Percentage ]]</f>
        <v>19993.476829712923</v>
      </c>
      <c r="AR17" s="61">
        <f>$L$10*Table53[[#This Row],[Locality''s Allocation Percentage ]]</f>
        <v>21300.093590379733</v>
      </c>
      <c r="AS17" s="61">
        <f>$L$11*Table53[[#This Row],[Locality''s Allocation Percentage ]]</f>
        <v>16031.203619900572</v>
      </c>
      <c r="AT17" s="61">
        <f>$L$12*Table53[[#This Row],[Locality''s Allocation Percentage ]]</f>
        <v>22799.220287271524</v>
      </c>
      <c r="AU17" s="61">
        <f>$L$13*Table53[[#This Row],[Locality''s Allocation Percentage ]]</f>
        <v>22936.056866025338</v>
      </c>
      <c r="AV17" s="61">
        <f>$L$14*Table53[[#This Row],[Locality''s Allocation Percentage ]]</f>
        <v>21330.974394034572</v>
      </c>
      <c r="AW17" s="61">
        <f>$L$15*Table53[[#This Row],[Locality''s Allocation Percentage ]]</f>
        <v>19731.72673883109</v>
      </c>
      <c r="AX17" s="61">
        <f>$L$16*Table53[[#This Row],[Locality''s Allocation Percentage ]]</f>
        <v>18068.17506249731</v>
      </c>
      <c r="AY17" s="61">
        <f>$L$17*Table53[[#This Row],[Locality''s Allocation Percentage ]]</f>
        <v>14106.404454511234</v>
      </c>
      <c r="AZ17" s="61">
        <f>$L$18*Table53[[#This Row],[Locality''s Allocation Percentage ]]</f>
        <v>14106.404454511234</v>
      </c>
      <c r="BA17" s="61">
        <f>$L$19*Table53[[#This Row],[Locality''s Allocation Percentage ]]</f>
        <v>14106.404454511234</v>
      </c>
      <c r="BB17" s="61">
        <f>$L$20*Table53[[#This Row],[Locality''s Allocation Percentage ]]</f>
        <v>11659.405826154954</v>
      </c>
      <c r="BC17" s="61">
        <f>$L$21*Table53[[#This Row],[Locality''s Allocation Percentage ]]</f>
        <v>11659.405826154954</v>
      </c>
      <c r="BD17" s="61">
        <f>$L$22*Table53[[#This Row],[Locality''s Allocation Percentage ]]</f>
        <v>8415.3106929836249</v>
      </c>
      <c r="BE17" s="61"/>
      <c r="BF17" s="61">
        <f t="shared" si="3"/>
        <v>0</v>
      </c>
      <c r="BG17" s="61">
        <f t="shared" si="3"/>
        <v>10106.648232549567</v>
      </c>
      <c r="BH17" s="61">
        <f t="shared" si="0"/>
        <v>11698.965277395802</v>
      </c>
      <c r="BI17" s="61">
        <f t="shared" si="0"/>
        <v>4555.7430033716009</v>
      </c>
      <c r="BJ17" s="61">
        <f t="shared" si="0"/>
        <v>4998.3692074282308</v>
      </c>
      <c r="BK17" s="61">
        <f t="shared" si="0"/>
        <v>5325.0233975949332</v>
      </c>
      <c r="BL17" s="61">
        <f t="shared" si="0"/>
        <v>4007.8009049751431</v>
      </c>
      <c r="BM17" s="61">
        <f t="shared" si="0"/>
        <v>5699.8050718178811</v>
      </c>
      <c r="BN17" s="61">
        <f t="shared" si="0"/>
        <v>5734.0142165063344</v>
      </c>
      <c r="BO17" s="61">
        <f t="shared" si="0"/>
        <v>5332.7435985086431</v>
      </c>
      <c r="BP17" s="61">
        <f t="shared" si="0"/>
        <v>4932.9316847077725</v>
      </c>
      <c r="BQ17" s="61">
        <f t="shared" si="0"/>
        <v>4517.0437656243275</v>
      </c>
      <c r="BR17" s="61">
        <f t="shared" si="0"/>
        <v>3526.6011136278084</v>
      </c>
      <c r="BS17" s="61">
        <f t="shared" si="0"/>
        <v>3526.6011136278084</v>
      </c>
      <c r="BT17" s="61">
        <f t="shared" si="0"/>
        <v>3526.6011136278084</v>
      </c>
      <c r="BU17" s="61">
        <f t="shared" si="0"/>
        <v>2914.8514565387386</v>
      </c>
      <c r="BV17" s="61">
        <f t="shared" si="0"/>
        <v>2914.8514565387386</v>
      </c>
      <c r="BW17" s="61">
        <f t="shared" si="0"/>
        <v>2103.8276732459062</v>
      </c>
      <c r="BX17" s="61"/>
      <c r="BY17" s="61">
        <f>($C$6+$D$6+$E$6)*Table53[[#This Row],[Locality''s Allocation Percentage ]]</f>
        <v>111721.19777749905</v>
      </c>
      <c r="BZ17" s="61">
        <f>$L$6*Table53[[#This Row],[Locality''s Allocation Percentage ]]</f>
        <v>40426.592930198269</v>
      </c>
      <c r="CA17" s="61">
        <f t="shared" si="4"/>
        <v>10106.648232549567</v>
      </c>
      <c r="CB17" s="76">
        <f>($C$7+$D$7+$E$7)*Table53[[#This Row],[Locality''s Allocation Percentage ]]</f>
        <v>40291.008371132288</v>
      </c>
      <c r="CC17" s="76">
        <f>$L$7*Table53[[#This Row],[Locality''s Allocation Percentage ]]</f>
        <v>46795.861109583209</v>
      </c>
      <c r="CD17" s="76">
        <f t="shared" si="5"/>
        <v>11698.965277395802</v>
      </c>
    </row>
    <row r="18" spans="2:82" s="19" customFormat="1" ht="18" customHeight="1" x14ac:dyDescent="0.25">
      <c r="B18" s="31" t="s">
        <v>80</v>
      </c>
      <c r="C18" s="32">
        <f t="shared" si="8"/>
        <v>5288160.791711376</v>
      </c>
      <c r="D18" s="32">
        <f t="shared" si="8"/>
        <v>0</v>
      </c>
      <c r="E18" s="32">
        <v>0</v>
      </c>
      <c r="F18" s="32">
        <f t="shared" ref="F18" si="33">F47*0.225</f>
        <v>1537687.9922727272</v>
      </c>
      <c r="G18" s="32">
        <f t="shared" ref="G18:H18" si="34">G47*0.225</f>
        <v>0</v>
      </c>
      <c r="H18" s="32">
        <f t="shared" si="34"/>
        <v>0</v>
      </c>
      <c r="I18" s="25">
        <f t="shared" si="6"/>
        <v>0</v>
      </c>
      <c r="J18" s="25">
        <f t="shared" si="7"/>
        <v>2265090.5545454542</v>
      </c>
      <c r="K18" s="25">
        <f t="shared" si="15"/>
        <v>0</v>
      </c>
      <c r="L18" s="32">
        <f t="shared" si="16"/>
        <v>3250291.103794171</v>
      </c>
      <c r="M18" s="34">
        <f t="shared" si="2"/>
        <v>12341230.442323728</v>
      </c>
      <c r="N18" s="131">
        <f>N16/0.225</f>
        <v>-2079276.1585723443</v>
      </c>
      <c r="P18" s="36" t="s">
        <v>228</v>
      </c>
      <c r="Q18" s="37">
        <v>1.0700107001070001E-3</v>
      </c>
      <c r="S18" s="22" t="s">
        <v>79</v>
      </c>
      <c r="T18" s="61">
        <f>($C$5+$D$5+$E$5+$F$5+$G$5+$H$5+$I$5+$J$5+$K$5)*Table53[[#This Row],[Locality''s Allocation Percentage ]]</f>
        <v>4350.9943374166469</v>
      </c>
      <c r="U18" s="61">
        <f>($C$6+$D$6+$E$6+$F$6+$G$6+$H$6+$I$6+$J$6+$K$6)*Table53[[#This Row],[Locality''s Allocation Percentage ]]</f>
        <v>27544.166272332714</v>
      </c>
      <c r="V18" s="61">
        <f>($C$7+$D$7+$E$7+$F$7+$G$7+$H$7+$I$7+$J$7+$K$7)*Table53[[#This Row],[Locality''s Allocation Percentage ]]</f>
        <v>33969.005010473906</v>
      </c>
      <c r="W18" s="61">
        <f>($C$8+$D$8+$E$8+$F$8+$G$8+$H$8+$I$8+$J$8+$K$8)*Table53[[#This Row],[Locality''s Allocation Percentage ]]</f>
        <v>13027.03822089592</v>
      </c>
      <c r="X18" s="61">
        <f>($C$9+$D$9+$E$9+$F$9+$G$9+$H$9+$I$9+$J$9+$K$9)*Table53[[#This Row],[Locality''s Allocation Percentage ]]</f>
        <v>13998.394422517587</v>
      </c>
      <c r="Y18" s="61">
        <f>($C$10+$D$10+$E$10+$F$10+$G$10+$H$10+$I$10+$J$10+$K$10)*Table53[[#This Row],[Locality''s Allocation Percentage ]]</f>
        <v>14876.95324148291</v>
      </c>
      <c r="Z18" s="61">
        <f>($C$11+$D$11+$E$11+$F$11+$G$11+$H$11+$I$11+$J$11+$K$11)*Table53[[#This Row],[Locality''s Allocation Percentage ]]</f>
        <v>11334.193123083645</v>
      </c>
      <c r="AA18" s="61">
        <f>($C$12+$D$12+$E$12+$F$12+$G$12+$H$12+$I$12+$J$12+$K$12)*Table53[[#This Row],[Locality''s Allocation Percentage ]]</f>
        <v>15884.954225358622</v>
      </c>
      <c r="AB18" s="61">
        <f>($C$13+$D$13+$E$13+$F$13+$G$13+$H$13+$I$13+$J$13+$K$13)*Table53[[#This Row],[Locality''s Allocation Percentage ]]</f>
        <v>15957.229742567095</v>
      </c>
      <c r="AC18" s="61">
        <f>($C$14+$D$14+$E$14+$F$14+$G$14+$H$14+$I$14+$J$14+$K$14)*Table53[[#This Row],[Locality''s Allocation Percentage ]]</f>
        <v>14940.64123482594</v>
      </c>
      <c r="AD18" s="61">
        <f>($C$15+$D$15+$E$15+$F$15+$G$15+$H$15+$I$15+$J$15+$K$15)*Table53[[#This Row],[Locality''s Allocation Percentage ]]</f>
        <v>13865.006545740178</v>
      </c>
      <c r="AE18" s="61">
        <f>($C$16+$D$16+$E$16+$F$16+$G$16+$H$16+$I$16+$J$16+$K$16)*Table53[[#This Row],[Locality''s Allocation Percentage ]]</f>
        <v>12746.447500697986</v>
      </c>
      <c r="AF18" s="61">
        <f>($C$17+$D$17+$E$17+$F$17+$G$17+$H$17+$I$17+$J$17+$K$17)*Table53[[#This Row],[Locality''s Allocation Percentage ]]</f>
        <v>9727.4023662502786</v>
      </c>
      <c r="AG18" s="61">
        <f>($C$18+$D$18+$E$18+$F$18+$G$18+$H$18+$I$18+$J$18+$K$18)*Table53[[#This Row],[Locality''s Allocation Percentage ]]</f>
        <v>9727.4023662502786</v>
      </c>
      <c r="AH18" s="61">
        <f>($C$19+$D$19+$E$19+$F$19+$G$19+$H$19+$I$19+$J$19+$K$19)*Table53[[#This Row],[Locality''s Allocation Percentage ]]</f>
        <v>9727.4023662502786</v>
      </c>
      <c r="AI18" s="61">
        <f>($C$20+$D$20+$E$20+$F$20+$G$20+$H$20+$I$20+$J$20+$K$20)*Table53[[#This Row],[Locality''s Allocation Percentage ]]</f>
        <v>8082.0597610924115</v>
      </c>
      <c r="AJ18" s="61">
        <f>($C$21+$D$21+$E$21+$F$21+$G$21+$H$21+$I$21+$J$21+$K$21)*Table53[[#This Row],[Locality''s Allocation Percentage ]]</f>
        <v>8082.0597610924115</v>
      </c>
      <c r="AK18" s="61">
        <f>($C$22+$D$22+$E$22+$F$22+$G$22+$H$22+$I$22+$J$22+$K$22)*Table53[[#This Row],[Locality''s Allocation Percentage ]]</f>
        <v>5658.3886310174776</v>
      </c>
      <c r="AL18" s="61"/>
      <c r="AM18" s="61"/>
      <c r="AN18" s="61">
        <f>$L$6*Table53[[#This Row],[Locality''s Allocation Percentage ]]</f>
        <v>9966.9249850949655</v>
      </c>
      <c r="AO18" s="61">
        <f>$L$7*Table53[[#This Row],[Locality''s Allocation Percentage ]]</f>
        <v>11537.228430242865</v>
      </c>
      <c r="AP18" s="61">
        <f>$L$8*Table53[[#This Row],[Locality''s Allocation Percentage ]]</f>
        <v>4492.760381205173</v>
      </c>
      <c r="AQ18" s="61">
        <f>$L$9*Table53[[#This Row],[Locality''s Allocation Percentage ]]</f>
        <v>4929.2673289845225</v>
      </c>
      <c r="AR18" s="61">
        <f>$L$10*Table53[[#This Row],[Locality''s Allocation Percentage ]]</f>
        <v>5251.4055626051413</v>
      </c>
      <c r="AS18" s="61">
        <f>$L$11*Table53[[#This Row],[Locality''s Allocation Percentage ]]</f>
        <v>3952.3935191920768</v>
      </c>
      <c r="AT18" s="61">
        <f>$L$12*Table53[[#This Row],[Locality''s Allocation Percentage ]]</f>
        <v>5621.0059233595694</v>
      </c>
      <c r="AU18" s="61">
        <f>$L$13*Table53[[#This Row],[Locality''s Allocation Percentage ]]</f>
        <v>5654.7421305638509</v>
      </c>
      <c r="AV18" s="61">
        <f>$L$14*Table53[[#This Row],[Locality''s Allocation Percentage ]]</f>
        <v>5259.0190326306438</v>
      </c>
      <c r="AW18" s="61">
        <f>$L$15*Table53[[#This Row],[Locality''s Allocation Percentage ]]</f>
        <v>4864.7344724767891</v>
      </c>
      <c r="AX18" s="61">
        <f>$L$16*Table53[[#This Row],[Locality''s Allocation Percentage ]]</f>
        <v>4454.5961559613188</v>
      </c>
      <c r="AY18" s="61">
        <f>$L$17*Table53[[#This Row],[Locality''s Allocation Percentage ]]</f>
        <v>3477.846259522355</v>
      </c>
      <c r="AZ18" s="61">
        <f>$L$18*Table53[[#This Row],[Locality''s Allocation Percentage ]]</f>
        <v>3477.846259522355</v>
      </c>
      <c r="BA18" s="61">
        <f>$L$19*Table53[[#This Row],[Locality''s Allocation Percentage ]]</f>
        <v>3477.846259522355</v>
      </c>
      <c r="BB18" s="61">
        <f>$L$20*Table53[[#This Row],[Locality''s Allocation Percentage ]]</f>
        <v>2874.5539709644704</v>
      </c>
      <c r="BC18" s="61">
        <f>$L$21*Table53[[#This Row],[Locality''s Allocation Percentage ]]</f>
        <v>2874.5539709644704</v>
      </c>
      <c r="BD18" s="61">
        <f>$L$22*Table53[[#This Row],[Locality''s Allocation Percentage ]]</f>
        <v>2074.7424980397413</v>
      </c>
      <c r="BE18" s="61"/>
      <c r="BF18" s="61">
        <f t="shared" si="3"/>
        <v>0</v>
      </c>
      <c r="BG18" s="61">
        <f t="shared" si="3"/>
        <v>2491.7312462737414</v>
      </c>
      <c r="BH18" s="61">
        <f t="shared" si="0"/>
        <v>2884.3071075607163</v>
      </c>
      <c r="BI18" s="61">
        <f t="shared" si="0"/>
        <v>1123.1900953012932</v>
      </c>
      <c r="BJ18" s="61">
        <f t="shared" si="0"/>
        <v>1232.3168322461306</v>
      </c>
      <c r="BK18" s="61">
        <f t="shared" si="0"/>
        <v>1312.8513906512853</v>
      </c>
      <c r="BL18" s="61">
        <f t="shared" si="0"/>
        <v>988.09837979801921</v>
      </c>
      <c r="BM18" s="61">
        <f t="shared" si="0"/>
        <v>1405.2514808398923</v>
      </c>
      <c r="BN18" s="61">
        <f t="shared" si="0"/>
        <v>1413.6855326409627</v>
      </c>
      <c r="BO18" s="61">
        <f t="shared" si="0"/>
        <v>1314.7547581576609</v>
      </c>
      <c r="BP18" s="61">
        <f t="shared" si="0"/>
        <v>1216.1836181191973</v>
      </c>
      <c r="BQ18" s="61">
        <f t="shared" si="0"/>
        <v>1113.6490389903297</v>
      </c>
      <c r="BR18" s="61">
        <f t="shared" si="0"/>
        <v>869.46156488058875</v>
      </c>
      <c r="BS18" s="61">
        <f t="shared" si="0"/>
        <v>869.46156488058875</v>
      </c>
      <c r="BT18" s="61">
        <f t="shared" si="0"/>
        <v>869.46156488058875</v>
      </c>
      <c r="BU18" s="61">
        <f t="shared" si="0"/>
        <v>718.6384927411176</v>
      </c>
      <c r="BV18" s="61">
        <f t="shared" si="0"/>
        <v>718.6384927411176</v>
      </c>
      <c r="BW18" s="61">
        <f t="shared" si="0"/>
        <v>518.68562450993534</v>
      </c>
      <c r="BX18" s="61"/>
      <c r="BY18" s="61">
        <f>($C$6+$D$6+$E$6)*Table53[[#This Row],[Locality''s Allocation Percentage ]]</f>
        <v>27544.166272332714</v>
      </c>
      <c r="BZ18" s="61">
        <f>$L$6*Table53[[#This Row],[Locality''s Allocation Percentage ]]</f>
        <v>9966.9249850949655</v>
      </c>
      <c r="CA18" s="61">
        <f t="shared" si="4"/>
        <v>2491.7312462737414</v>
      </c>
      <c r="CB18" s="76">
        <f>($C$7+$D$7+$E$7)*Table53[[#This Row],[Locality''s Allocation Percentage ]]</f>
        <v>9933.4974555556564</v>
      </c>
      <c r="CC18" s="76">
        <f>$L$7*Table53[[#This Row],[Locality''s Allocation Percentage ]]</f>
        <v>11537.228430242865</v>
      </c>
      <c r="CD18" s="76">
        <f t="shared" si="5"/>
        <v>2884.3071075607163</v>
      </c>
    </row>
    <row r="19" spans="2:82" s="19" customFormat="1" ht="18" customHeight="1" x14ac:dyDescent="0.25">
      <c r="B19" s="31" t="s">
        <v>82</v>
      </c>
      <c r="C19" s="32">
        <f t="shared" si="8"/>
        <v>5288160.791711376</v>
      </c>
      <c r="D19" s="32">
        <f t="shared" si="8"/>
        <v>0</v>
      </c>
      <c r="E19" s="32">
        <v>0</v>
      </c>
      <c r="F19" s="32">
        <f t="shared" ref="F19" si="35">F48*0.225</f>
        <v>1537687.9922727272</v>
      </c>
      <c r="G19" s="32">
        <f t="shared" ref="G19:H19" si="36">G48*0.225</f>
        <v>0</v>
      </c>
      <c r="H19" s="32">
        <f t="shared" si="36"/>
        <v>0</v>
      </c>
      <c r="I19" s="25">
        <f t="shared" si="6"/>
        <v>0</v>
      </c>
      <c r="J19" s="25">
        <f t="shared" si="7"/>
        <v>2265090.5545454542</v>
      </c>
      <c r="K19" s="25">
        <f t="shared" si="15"/>
        <v>0</v>
      </c>
      <c r="L19" s="32">
        <f t="shared" si="16"/>
        <v>3250291.103794171</v>
      </c>
      <c r="M19" s="34">
        <f t="shared" si="2"/>
        <v>12341230.442323728</v>
      </c>
      <c r="N19" s="132" t="s">
        <v>322</v>
      </c>
      <c r="P19" s="28" t="s">
        <v>229</v>
      </c>
      <c r="Q19" s="29">
        <v>9.29009290092901E-3</v>
      </c>
      <c r="S19" s="30" t="s">
        <v>81</v>
      </c>
      <c r="T19" s="61">
        <f>($C$5+$D$5+$E$5+$F$5+$G$5+$H$5+$I$5+$J$5+$K$5)*Table53[[#This Row],[Locality''s Allocation Percentage ]]</f>
        <v>37776.390088411856</v>
      </c>
      <c r="U19" s="61">
        <f>($C$6+$D$6+$E$6+$F$6+$G$6+$H$6+$I$6+$J$6+$K$6)*Table53[[#This Row],[Locality''s Allocation Percentage ]]</f>
        <v>239145.14455137495</v>
      </c>
      <c r="V19" s="61">
        <f>($C$7+$D$7+$E$7+$F$7+$G$7+$H$7+$I$7+$J$7+$K$7)*Table53[[#This Row],[Locality''s Allocation Percentage ]]</f>
        <v>294927.15565168497</v>
      </c>
      <c r="W19" s="61">
        <f>($C$8+$D$8+$E$8+$F$8+$G$8+$H$8+$I$8+$J$8+$K$8)*Table53[[#This Row],[Locality''s Allocation Percentage ]]</f>
        <v>113103.91128235814</v>
      </c>
      <c r="X19" s="61">
        <f>($C$9+$D$9+$E$9+$F$9+$G$9+$H$9+$I$9+$J$9+$K$9)*Table53[[#This Row],[Locality''s Allocation Percentage ]]</f>
        <v>121537.46185531636</v>
      </c>
      <c r="Y19" s="61">
        <f>($C$10+$D$10+$E$10+$F$10+$G$10+$H$10+$I$10+$J$10+$K$10)*Table53[[#This Row],[Locality''s Allocation Percentage ]]</f>
        <v>129165.32300315548</v>
      </c>
      <c r="Z19" s="61">
        <f>($C$11+$D$11+$E$11+$F$11+$G$11+$H$11+$I$11+$J$11+$K$11)*Table53[[#This Row],[Locality''s Allocation Percentage ]]</f>
        <v>98406.218797614172</v>
      </c>
      <c r="AA19" s="61">
        <f>($C$12+$D$12+$E$12+$F$12+$G$12+$H$12+$I$12+$J$12+$K$12)*Table53[[#This Row],[Locality''s Allocation Percentage ]]</f>
        <v>137917.03247998294</v>
      </c>
      <c r="AB19" s="61">
        <f>($C$13+$D$13+$E$13+$F$13+$G$13+$H$13+$I$13+$J$13+$K$13)*Table53[[#This Row],[Locality''s Allocation Percentage ]]</f>
        <v>138544.5460826621</v>
      </c>
      <c r="AC19" s="61">
        <f>($C$14+$D$14+$E$14+$F$14+$G$14+$H$14+$I$14+$J$14+$K$14)*Table53[[#This Row],[Locality''s Allocation Percentage ]]</f>
        <v>129718.27763694685</v>
      </c>
      <c r="AD19" s="61">
        <f>($C$15+$D$15+$E$15+$F$15+$G$15+$H$15+$I$15+$J$15+$K$15)*Table53[[#This Row],[Locality''s Allocation Percentage ]]</f>
        <v>120379.35589712746</v>
      </c>
      <c r="AE19" s="61">
        <f>($C$16+$D$16+$E$16+$F$16+$G$16+$H$16+$I$16+$J$16+$K$16)*Table53[[#This Row],[Locality''s Allocation Percentage ]]</f>
        <v>110667.75446867701</v>
      </c>
      <c r="AF19" s="61">
        <f>($C$17+$D$17+$E$17+$F$17+$G$17+$H$17+$I$17+$J$17+$K$17)*Table53[[#This Row],[Locality''s Allocation Percentage ]]</f>
        <v>84455.671011649712</v>
      </c>
      <c r="AG19" s="61">
        <f>($C$18+$D$18+$E$18+$F$18+$G$18+$H$18+$I$18+$J$18+$K$18)*Table53[[#This Row],[Locality''s Allocation Percentage ]]</f>
        <v>84455.671011649712</v>
      </c>
      <c r="AH19" s="61">
        <f>($C$19+$D$19+$E$19+$F$19+$G$19+$H$19+$I$19+$J$19+$K$19)*Table53[[#This Row],[Locality''s Allocation Percentage ]]</f>
        <v>84455.671011649712</v>
      </c>
      <c r="AI19" s="61">
        <f>($C$20+$D$20+$E$20+$F$20+$G$20+$H$20+$I$20+$J$20+$K$20)*Table53[[#This Row],[Locality''s Allocation Percentage ]]</f>
        <v>70170.40671079306</v>
      </c>
      <c r="AJ19" s="61">
        <f>($C$21+$D$21+$E$21+$F$21+$G$21+$H$21+$I$21+$J$21+$K$21)*Table53[[#This Row],[Locality''s Allocation Percentage ]]</f>
        <v>70170.40671079306</v>
      </c>
      <c r="AK19" s="61">
        <f>($C$22+$D$22+$E$22+$F$22+$G$22+$H$22+$I$22+$J$22+$K$22)*Table53[[#This Row],[Locality''s Allocation Percentage ]]</f>
        <v>49127.505030048989</v>
      </c>
      <c r="AL19" s="61"/>
      <c r="AM19" s="61"/>
      <c r="AN19" s="61">
        <f>$L$6*Table53[[#This Row],[Locality''s Allocation Percentage ]]</f>
        <v>86535.264590217121</v>
      </c>
      <c r="AO19" s="61">
        <f>$L$7*Table53[[#This Row],[Locality''s Allocation Percentage ]]</f>
        <v>100169.02067005263</v>
      </c>
      <c r="AP19" s="61">
        <f>$L$8*Table53[[#This Row],[Locality''s Allocation Percentage ]]</f>
        <v>39007.237328407573</v>
      </c>
      <c r="AQ19" s="61">
        <f>$L$9*Table53[[#This Row],[Locality''s Allocation Percentage ]]</f>
        <v>42797.096716136693</v>
      </c>
      <c r="AR19" s="61">
        <f>$L$10*Table53[[#This Row],[Locality''s Allocation Percentage ]]</f>
        <v>45593.97913701104</v>
      </c>
      <c r="AS19" s="61">
        <f>$L$11*Table53[[#This Row],[Locality''s Allocation Percentage ]]</f>
        <v>34315.640928312554</v>
      </c>
      <c r="AT19" s="61">
        <f>$L$12*Table53[[#This Row],[Locality''s Allocation Percentage ]]</f>
        <v>48802.939278514437</v>
      </c>
      <c r="AU19" s="61">
        <f>$L$13*Table53[[#This Row],[Locality''s Allocation Percentage ]]</f>
        <v>49095.845227045073</v>
      </c>
      <c r="AV19" s="61">
        <f>$L$14*Table53[[#This Row],[Locality''s Allocation Percentage ]]</f>
        <v>45660.081133774511</v>
      </c>
      <c r="AW19" s="61">
        <f>$L$15*Table53[[#This Row],[Locality''s Allocation Percentage ]]</f>
        <v>42236.806775055535</v>
      </c>
      <c r="AX19" s="61">
        <f>$L$16*Table53[[#This Row],[Locality''s Allocation Percentage ]]</f>
        <v>38675.886251290365</v>
      </c>
      <c r="AY19" s="61">
        <f>$L$17*Table53[[#This Row],[Locality''s Allocation Percentage ]]</f>
        <v>30195.506309310946</v>
      </c>
      <c r="AZ19" s="61">
        <f>$L$18*Table53[[#This Row],[Locality''s Allocation Percentage ]]</f>
        <v>30195.506309310946</v>
      </c>
      <c r="BA19" s="61">
        <f>$L$19*Table53[[#This Row],[Locality''s Allocation Percentage ]]</f>
        <v>30195.506309310946</v>
      </c>
      <c r="BB19" s="61">
        <f>$L$20*Table53[[#This Row],[Locality''s Allocation Percentage ]]</f>
        <v>24957.57606566351</v>
      </c>
      <c r="BC19" s="61">
        <f>$L$21*Table53[[#This Row],[Locality''s Allocation Percentage ]]</f>
        <v>24957.57606566351</v>
      </c>
      <c r="BD19" s="61">
        <f>$L$22*Table53[[#This Row],[Locality''s Allocation Percentage ]]</f>
        <v>18013.418511017961</v>
      </c>
      <c r="BE19" s="61"/>
      <c r="BF19" s="61">
        <f t="shared" si="3"/>
        <v>0</v>
      </c>
      <c r="BG19" s="61">
        <f t="shared" si="3"/>
        <v>21633.81614755428</v>
      </c>
      <c r="BH19" s="61">
        <f t="shared" si="0"/>
        <v>25042.255167513158</v>
      </c>
      <c r="BI19" s="61">
        <f t="shared" si="0"/>
        <v>9751.8093321018932</v>
      </c>
      <c r="BJ19" s="61">
        <f t="shared" si="0"/>
        <v>10699.274179034173</v>
      </c>
      <c r="BK19" s="61">
        <f t="shared" si="0"/>
        <v>11398.49478425276</v>
      </c>
      <c r="BL19" s="61">
        <f t="shared" si="0"/>
        <v>8578.9102320781385</v>
      </c>
      <c r="BM19" s="61">
        <f t="shared" si="0"/>
        <v>12200.734819628609</v>
      </c>
      <c r="BN19" s="61">
        <f t="shared" si="0"/>
        <v>12273.961306761268</v>
      </c>
      <c r="BO19" s="61">
        <f t="shared" si="0"/>
        <v>11415.020283443628</v>
      </c>
      <c r="BP19" s="61">
        <f t="shared" si="0"/>
        <v>10559.201693763884</v>
      </c>
      <c r="BQ19" s="61">
        <f t="shared" si="0"/>
        <v>9668.9715628225913</v>
      </c>
      <c r="BR19" s="61">
        <f t="shared" si="0"/>
        <v>7548.8765773277364</v>
      </c>
      <c r="BS19" s="61">
        <f t="shared" si="0"/>
        <v>7548.8765773277364</v>
      </c>
      <c r="BT19" s="61">
        <f t="shared" si="0"/>
        <v>7548.8765773277364</v>
      </c>
      <c r="BU19" s="61">
        <f t="shared" si="0"/>
        <v>6239.3940164158776</v>
      </c>
      <c r="BV19" s="61">
        <f t="shared" si="0"/>
        <v>6239.3940164158776</v>
      </c>
      <c r="BW19" s="61">
        <f t="shared" ref="BW19:BW82" si="37">BD19*0.25</f>
        <v>4503.3546277544901</v>
      </c>
      <c r="BX19" s="61"/>
      <c r="BY19" s="61">
        <f>($C$6+$D$6+$E$6)*Table53[[#This Row],[Locality''s Allocation Percentage ]]</f>
        <v>239145.14455137495</v>
      </c>
      <c r="BZ19" s="61">
        <f>$L$6*Table53[[#This Row],[Locality''s Allocation Percentage ]]</f>
        <v>86535.264590217121</v>
      </c>
      <c r="CA19" s="61">
        <f t="shared" si="4"/>
        <v>21633.81614755428</v>
      </c>
      <c r="CB19" s="76">
        <f>($C$7+$D$7+$E$7)*Table53[[#This Row],[Locality''s Allocation Percentage ]]</f>
        <v>86245.038656179575</v>
      </c>
      <c r="CC19" s="76">
        <f>$L$7*Table53[[#This Row],[Locality''s Allocation Percentage ]]</f>
        <v>100169.02067005263</v>
      </c>
      <c r="CD19" s="76">
        <f t="shared" si="5"/>
        <v>25042.255167513158</v>
      </c>
    </row>
    <row r="20" spans="2:82" s="19" customFormat="1" ht="18" customHeight="1" x14ac:dyDescent="0.25">
      <c r="B20" s="31" t="s">
        <v>84</v>
      </c>
      <c r="C20" s="32">
        <f t="shared" si="8"/>
        <v>5288160.791711376</v>
      </c>
      <c r="D20" s="32">
        <f t="shared" si="8"/>
        <v>0</v>
      </c>
      <c r="E20" s="32">
        <v>0</v>
      </c>
      <c r="F20" s="32">
        <f t="shared" ref="F20" si="38">F49*0.225</f>
        <v>0</v>
      </c>
      <c r="G20" s="32">
        <f t="shared" ref="G20:H20" si="39">G49*0.225</f>
        <v>0</v>
      </c>
      <c r="H20" s="32">
        <f t="shared" si="39"/>
        <v>0</v>
      </c>
      <c r="I20" s="25">
        <f t="shared" si="6"/>
        <v>0</v>
      </c>
      <c r="J20" s="25">
        <f t="shared" si="7"/>
        <v>2265090.5545454542</v>
      </c>
      <c r="K20" s="25">
        <f t="shared" si="15"/>
        <v>0</v>
      </c>
      <c r="L20" s="32">
        <f t="shared" si="16"/>
        <v>2686472.1732941712</v>
      </c>
      <c r="M20" s="34">
        <f t="shared" si="2"/>
        <v>10239723.519551001</v>
      </c>
      <c r="P20" s="36" t="s">
        <v>230</v>
      </c>
      <c r="Q20" s="37">
        <v>1.270012700127E-3</v>
      </c>
      <c r="S20" s="22" t="s">
        <v>83</v>
      </c>
      <c r="T20" s="61">
        <f>($C$5+$D$5+$E$5+$F$5+$G$5+$H$5+$I$5+$J$5+$K$5)*Table53[[#This Row],[Locality''s Allocation Percentage ]]</f>
        <v>5164.2643070272352</v>
      </c>
      <c r="U20" s="61">
        <f>($C$6+$D$6+$E$6+$F$6+$G$6+$H$6+$I$6+$J$6+$K$6)*Table53[[#This Row],[Locality''s Allocation Percentage ]]</f>
        <v>32692.608566226678</v>
      </c>
      <c r="V20" s="61">
        <f>($C$7+$D$7+$E$7+$F$7+$G$7+$H$7+$I$7+$J$7+$K$7)*Table53[[#This Row],[Locality''s Allocation Percentage ]]</f>
        <v>40318.351741403603</v>
      </c>
      <c r="W20" s="61">
        <f>($C$8+$D$8+$E$8+$F$8+$G$8+$H$8+$I$8+$J$8+$K$8)*Table53[[#This Row],[Locality''s Allocation Percentage ]]</f>
        <v>15461.998636016651</v>
      </c>
      <c r="X20" s="61">
        <f>($C$9+$D$9+$E$9+$F$9+$G$9+$H$9+$I$9+$J$9+$K$9)*Table53[[#This Row],[Locality''s Allocation Percentage ]]</f>
        <v>16614.916744483489</v>
      </c>
      <c r="Y20" s="61">
        <f>($C$10+$D$10+$E$10+$F$10+$G$10+$H$10+$I$10+$J$10+$K$10)*Table53[[#This Row],[Locality''s Allocation Percentage ]]</f>
        <v>17657.692165124576</v>
      </c>
      <c r="Z20" s="61">
        <f>($C$11+$D$11+$E$11+$F$11+$G$11+$H$11+$I$11+$J$11+$K$11)*Table53[[#This Row],[Locality''s Allocation Percentage ]]</f>
        <v>13452.733893753484</v>
      </c>
      <c r="AA20" s="61">
        <f>($C$12+$D$12+$E$12+$F$12+$G$12+$H$12+$I$12+$J$12+$K$12)*Table53[[#This Row],[Locality''s Allocation Percentage ]]</f>
        <v>18854.104547855561</v>
      </c>
      <c r="AB20" s="61">
        <f>($C$13+$D$13+$E$13+$F$13+$G$13+$H$13+$I$13+$J$13+$K$13)*Table53[[#This Row],[Locality''s Allocation Percentage ]]</f>
        <v>18939.889507532906</v>
      </c>
      <c r="AC20" s="61">
        <f>($C$14+$D$14+$E$14+$F$14+$G$14+$H$14+$I$14+$J$14+$K$14)*Table53[[#This Row],[Locality''s Allocation Percentage ]]</f>
        <v>17733.284456288733</v>
      </c>
      <c r="AD20" s="61">
        <f>($C$15+$D$15+$E$15+$F$15+$G$15+$H$15+$I$15+$J$15+$K$15)*Table53[[#This Row],[Locality''s Allocation Percentage ]]</f>
        <v>16456.596554289743</v>
      </c>
      <c r="AE20" s="61">
        <f>($C$16+$D$16+$E$16+$F$16+$G$16+$H$16+$I$16+$J$16+$K$16)*Table53[[#This Row],[Locality''s Allocation Percentage ]]</f>
        <v>15128.961052230319</v>
      </c>
      <c r="AF20" s="61">
        <f>($C$17+$D$17+$E$17+$F$17+$G$17+$H$17+$I$17+$J$17+$K$17)*Table53[[#This Row],[Locality''s Allocation Percentage ]]</f>
        <v>11545.608416016687</v>
      </c>
      <c r="AG20" s="61">
        <f>($C$18+$D$18+$E$18+$F$18+$G$18+$H$18+$I$18+$J$18+$K$18)*Table53[[#This Row],[Locality''s Allocation Percentage ]]</f>
        <v>11545.608416016687</v>
      </c>
      <c r="AH20" s="61">
        <f>($C$19+$D$19+$E$19+$F$19+$G$19+$H$19+$I$19+$J$19+$K$19)*Table53[[#This Row],[Locality''s Allocation Percentage ]]</f>
        <v>11545.608416016687</v>
      </c>
      <c r="AI20" s="61">
        <f>($C$20+$D$20+$E$20+$F$20+$G$20+$H$20+$I$20+$J$20+$K$20)*Table53[[#This Row],[Locality''s Allocation Percentage ]]</f>
        <v>9592.7251369975347</v>
      </c>
      <c r="AJ20" s="61">
        <f>($C$21+$D$21+$E$21+$F$21+$G$21+$H$21+$I$21+$J$21+$K$21)*Table53[[#This Row],[Locality''s Allocation Percentage ]]</f>
        <v>9592.7251369975347</v>
      </c>
      <c r="AK20" s="61">
        <f>($C$22+$D$22+$E$22+$F$22+$G$22+$H$22+$I$22+$J$22+$K$22)*Table53[[#This Row],[Locality''s Allocation Percentage ]]</f>
        <v>6716.0313657870993</v>
      </c>
      <c r="AL20" s="61"/>
      <c r="AM20" s="61"/>
      <c r="AN20" s="61">
        <f>$L$6*Table53[[#This Row],[Locality''s Allocation Percentage ]]</f>
        <v>11829.901617822996</v>
      </c>
      <c r="AO20" s="61">
        <f>$L$7*Table53[[#This Row],[Locality''s Allocation Percentage ]]</f>
        <v>13693.719725615361</v>
      </c>
      <c r="AP20" s="61">
        <f>$L$8*Table53[[#This Row],[Locality''s Allocation Percentage ]]</f>
        <v>5332.5286767575417</v>
      </c>
      <c r="AQ20" s="61">
        <f>$L$9*Table53[[#This Row],[Locality''s Allocation Percentage ]]</f>
        <v>5850.6257082339662</v>
      </c>
      <c r="AR20" s="61">
        <f>$L$10*Table53[[#This Row],[Locality''s Allocation Percentage ]]</f>
        <v>6232.9766958023638</v>
      </c>
      <c r="AS20" s="61">
        <f>$L$11*Table53[[#This Row],[Locality''s Allocation Percentage ]]</f>
        <v>4691.158662966297</v>
      </c>
      <c r="AT20" s="61">
        <f>$L$12*Table53[[#This Row],[Locality''s Allocation Percentage ]]</f>
        <v>6671.661236137058</v>
      </c>
      <c r="AU20" s="61">
        <f>$L$13*Table53[[#This Row],[Locality''s Allocation Percentage ]]</f>
        <v>6711.703276463636</v>
      </c>
      <c r="AV20" s="61">
        <f>$L$14*Table53[[#This Row],[Locality''s Allocation Percentage ]]</f>
        <v>6242.0132443373059</v>
      </c>
      <c r="AW20" s="61">
        <f>$L$15*Table53[[#This Row],[Locality''s Allocation Percentage ]]</f>
        <v>5774.0306355565626</v>
      </c>
      <c r="AX20" s="61">
        <f>$L$16*Table53[[#This Row],[Locality''s Allocation Percentage ]]</f>
        <v>5287.2309514681065</v>
      </c>
      <c r="AY20" s="61">
        <f>$L$17*Table53[[#This Row],[Locality''s Allocation Percentage ]]</f>
        <v>4127.9109809284028</v>
      </c>
      <c r="AZ20" s="61">
        <f>$L$18*Table53[[#This Row],[Locality''s Allocation Percentage ]]</f>
        <v>4127.9109809284028</v>
      </c>
      <c r="BA20" s="61">
        <f>$L$19*Table53[[#This Row],[Locality''s Allocation Percentage ]]</f>
        <v>4127.9109809284028</v>
      </c>
      <c r="BB20" s="61">
        <f>$L$20*Table53[[#This Row],[Locality''s Allocation Percentage ]]</f>
        <v>3411.8537786213806</v>
      </c>
      <c r="BC20" s="61">
        <f>$L$21*Table53[[#This Row],[Locality''s Allocation Percentage ]]</f>
        <v>3411.8537786213806</v>
      </c>
      <c r="BD20" s="61">
        <f>$L$22*Table53[[#This Row],[Locality''s Allocation Percentage ]]</f>
        <v>2462.5448341219362</v>
      </c>
      <c r="BE20" s="61"/>
      <c r="BF20" s="61">
        <f t="shared" si="3"/>
        <v>0</v>
      </c>
      <c r="BG20" s="61">
        <f t="shared" si="3"/>
        <v>2957.475404455749</v>
      </c>
      <c r="BH20" s="61">
        <f t="shared" ref="BH20:BH83" si="40">AO20*0.25</f>
        <v>3423.4299314038403</v>
      </c>
      <c r="BI20" s="61">
        <f t="shared" ref="BI20:BI83" si="41">AP20*0.25</f>
        <v>1333.1321691893854</v>
      </c>
      <c r="BJ20" s="61">
        <f t="shared" ref="BJ20:BJ83" si="42">AQ20*0.25</f>
        <v>1462.6564270584915</v>
      </c>
      <c r="BK20" s="61">
        <f t="shared" ref="BK20:BK83" si="43">AR20*0.25</f>
        <v>1558.2441739505909</v>
      </c>
      <c r="BL20" s="61">
        <f t="shared" ref="BL20:BL83" si="44">AS20*0.25</f>
        <v>1172.7896657415743</v>
      </c>
      <c r="BM20" s="61">
        <f t="shared" ref="BM20:BM83" si="45">AT20*0.25</f>
        <v>1667.9153090342645</v>
      </c>
      <c r="BN20" s="61">
        <f t="shared" ref="BN20:BN83" si="46">AU20*0.25</f>
        <v>1677.925819115909</v>
      </c>
      <c r="BO20" s="61">
        <f t="shared" ref="BO20:BO83" si="47">AV20*0.25</f>
        <v>1560.5033110843265</v>
      </c>
      <c r="BP20" s="61">
        <f t="shared" ref="BP20:BP83" si="48">AW20*0.25</f>
        <v>1443.5076588891407</v>
      </c>
      <c r="BQ20" s="61">
        <f t="shared" ref="BQ20:BQ83" si="49">AX20*0.25</f>
        <v>1321.8077378670266</v>
      </c>
      <c r="BR20" s="61">
        <f t="shared" ref="BR20:BR83" si="50">AY20*0.25</f>
        <v>1031.9777452321007</v>
      </c>
      <c r="BS20" s="61">
        <f t="shared" ref="BS20:BS83" si="51">AZ20*0.25</f>
        <v>1031.9777452321007</v>
      </c>
      <c r="BT20" s="61">
        <f t="shared" ref="BT20:BT83" si="52">BA20*0.25</f>
        <v>1031.9777452321007</v>
      </c>
      <c r="BU20" s="61">
        <f t="shared" ref="BU20:BU83" si="53">BB20*0.25</f>
        <v>852.96344465534514</v>
      </c>
      <c r="BV20" s="61">
        <f t="shared" ref="BV20:BV83" si="54">BC20*0.25</f>
        <v>852.96344465534514</v>
      </c>
      <c r="BW20" s="61">
        <f t="shared" si="37"/>
        <v>615.63620853048405</v>
      </c>
      <c r="BX20" s="61"/>
      <c r="BY20" s="61">
        <f>($C$6+$D$6+$E$6)*Table53[[#This Row],[Locality''s Allocation Percentage ]]</f>
        <v>32692.608566226678</v>
      </c>
      <c r="BZ20" s="61">
        <f>$L$6*Table53[[#This Row],[Locality''s Allocation Percentage ]]</f>
        <v>11829.901617822996</v>
      </c>
      <c r="CA20" s="61">
        <f t="shared" si="4"/>
        <v>2957.475404455749</v>
      </c>
      <c r="CB20" s="76">
        <f>($C$7+$D$7+$E$7)*Table53[[#This Row],[Locality''s Allocation Percentage ]]</f>
        <v>11790.225951921198</v>
      </c>
      <c r="CC20" s="76">
        <f>$L$7*Table53[[#This Row],[Locality''s Allocation Percentage ]]</f>
        <v>13693.719725615361</v>
      </c>
      <c r="CD20" s="76">
        <f t="shared" si="5"/>
        <v>3423.4299314038403</v>
      </c>
    </row>
    <row r="21" spans="2:82" s="19" customFormat="1" ht="18" customHeight="1" x14ac:dyDescent="0.25">
      <c r="B21" s="31" t="s">
        <v>86</v>
      </c>
      <c r="C21" s="32">
        <f t="shared" si="8"/>
        <v>5288160.791711376</v>
      </c>
      <c r="D21" s="32">
        <f t="shared" si="8"/>
        <v>0</v>
      </c>
      <c r="E21" s="32">
        <v>0</v>
      </c>
      <c r="F21" s="32">
        <f t="shared" ref="F21:F22" si="55">F50*0.225</f>
        <v>0</v>
      </c>
      <c r="G21" s="32">
        <f t="shared" ref="G21:H21" si="56">G50*0.225</f>
        <v>0</v>
      </c>
      <c r="H21" s="32">
        <f t="shared" si="56"/>
        <v>0</v>
      </c>
      <c r="I21" s="25">
        <f t="shared" si="6"/>
        <v>0</v>
      </c>
      <c r="J21" s="25">
        <f t="shared" si="7"/>
        <v>2265090.5545454542</v>
      </c>
      <c r="K21" s="25">
        <f t="shared" si="15"/>
        <v>0</v>
      </c>
      <c r="L21" s="32">
        <f t="shared" si="16"/>
        <v>2686472.1732941712</v>
      </c>
      <c r="M21" s="34">
        <f t="shared" si="2"/>
        <v>10239723.519551001</v>
      </c>
      <c r="N21" s="35">
        <f>N18*0.55</f>
        <v>-1143601.8872147894</v>
      </c>
      <c r="P21" s="28" t="s">
        <v>85</v>
      </c>
      <c r="Q21" s="29">
        <v>7.8000780007800004E-4</v>
      </c>
      <c r="S21" s="30" t="s">
        <v>85</v>
      </c>
      <c r="T21" s="61">
        <f>($C$5+$D$5+$E$5+$F$5+$G$5+$H$5+$I$5+$J$5+$K$5)*Table53[[#This Row],[Locality''s Allocation Percentage ]]</f>
        <v>3171.752881481294</v>
      </c>
      <c r="U21" s="61">
        <f>($C$6+$D$6+$E$6+$F$6+$G$6+$H$6+$I$6+$J$6+$K$6)*Table53[[#This Row],[Locality''s Allocation Percentage ]]</f>
        <v>20078.924946186464</v>
      </c>
      <c r="V21" s="61">
        <f>($C$7+$D$7+$E$7+$F$7+$G$7+$H$7+$I$7+$J$7+$K$7)*Table53[[#This Row],[Locality''s Allocation Percentage ]]</f>
        <v>24762.452250625836</v>
      </c>
      <c r="W21" s="61">
        <f>($C$8+$D$8+$E$8+$F$8+$G$8+$H$8+$I$8+$J$8+$K$8)*Table53[[#This Row],[Locality''s Allocation Percentage ]]</f>
        <v>9496.3456189708577</v>
      </c>
      <c r="X21" s="61">
        <f>($C$9+$D$9+$E$9+$F$9+$G$9+$H$9+$I$9+$J$9+$K$9)*Table53[[#This Row],[Locality''s Allocation Percentage ]]</f>
        <v>10204.437055667026</v>
      </c>
      <c r="Y21" s="61">
        <f>($C$10+$D$10+$E$10+$F$10+$G$10+$H$10+$I$10+$J$10+$K$10)*Table53[[#This Row],[Locality''s Allocation Percentage ]]</f>
        <v>10844.881802202495</v>
      </c>
      <c r="Z21" s="61">
        <f>($C$11+$D$11+$E$11+$F$11+$G$11+$H$11+$I$11+$J$11+$K$11)*Table53[[#This Row],[Locality''s Allocation Percentage ]]</f>
        <v>8262.3090056123765</v>
      </c>
      <c r="AA21" s="61">
        <f>($C$12+$D$12+$E$12+$F$12+$G$12+$H$12+$I$12+$J$12+$K$12)*Table53[[#This Row],[Locality''s Allocation Percentage ]]</f>
        <v>11579.68625773806</v>
      </c>
      <c r="AB21" s="61">
        <f>($C$13+$D$13+$E$13+$F$13+$G$13+$H$13+$I$13+$J$13+$K$13)*Table53[[#This Row],[Locality''s Allocation Percentage ]]</f>
        <v>11632.373083366667</v>
      </c>
      <c r="AC21" s="61">
        <f>($C$14+$D$14+$E$14+$F$14+$G$14+$H$14+$I$14+$J$14+$K$14)*Table53[[#This Row],[Locality''s Allocation Percentage ]]</f>
        <v>10891.30856370489</v>
      </c>
      <c r="AD21" s="61">
        <f>($C$15+$D$15+$E$15+$F$15+$G$15+$H$15+$I$15+$J$15+$K$15)*Table53[[#This Row],[Locality''s Allocation Percentage ]]</f>
        <v>10107.201033343308</v>
      </c>
      <c r="AE21" s="61">
        <f>($C$16+$D$16+$E$16+$F$16+$G$16+$H$16+$I$16+$J$16+$K$16)*Table53[[#This Row],[Locality''s Allocation Percentage ]]</f>
        <v>9291.8028509761025</v>
      </c>
      <c r="AF21" s="61">
        <f>($C$17+$D$17+$E$17+$F$17+$G$17+$H$17+$I$17+$J$17+$K$17)*Table53[[#This Row],[Locality''s Allocation Percentage ]]</f>
        <v>7091.0035940889884</v>
      </c>
      <c r="AG21" s="61">
        <f>($C$18+$D$18+$E$18+$F$18+$G$18+$H$18+$I$18+$J$18+$K$18)*Table53[[#This Row],[Locality''s Allocation Percentage ]]</f>
        <v>7091.0035940889884</v>
      </c>
      <c r="AH21" s="61">
        <f>($C$19+$D$19+$E$19+$F$19+$G$19+$H$19+$I$19+$J$19+$K$19)*Table53[[#This Row],[Locality''s Allocation Percentage ]]</f>
        <v>7091.0035940889884</v>
      </c>
      <c r="AI21" s="61">
        <f>($C$20+$D$20+$E$20+$F$20+$G$20+$H$20+$I$20+$J$20+$K$20)*Table53[[#This Row],[Locality''s Allocation Percentage ]]</f>
        <v>5891.5949660299821</v>
      </c>
      <c r="AJ21" s="61">
        <f>($C$21+$D$21+$E$21+$F$21+$G$21+$H$21+$I$21+$J$21+$K$21)*Table53[[#This Row],[Locality''s Allocation Percentage ]]</f>
        <v>5891.5949660299821</v>
      </c>
      <c r="AK21" s="61">
        <f>($C$22+$D$22+$E$22+$F$22+$G$22+$H$22+$I$22+$J$22+$K$22)*Table53[[#This Row],[Locality''s Allocation Percentage ]]</f>
        <v>4124.8066656015253</v>
      </c>
      <c r="AL21" s="61"/>
      <c r="AM21" s="61"/>
      <c r="AN21" s="61">
        <f>$L$6*Table53[[#This Row],[Locality''s Allocation Percentage ]]</f>
        <v>7265.6088676393201</v>
      </c>
      <c r="AO21" s="61">
        <f>$L$7*Table53[[#This Row],[Locality''s Allocation Percentage ]]</f>
        <v>8410.3160519527428</v>
      </c>
      <c r="AP21" s="61">
        <f>$L$8*Table53[[#This Row],[Locality''s Allocation Percentage ]]</f>
        <v>3275.0963526542382</v>
      </c>
      <c r="AQ21" s="61">
        <f>$L$9*Table53[[#This Row],[Locality''s Allocation Percentage ]]</f>
        <v>3593.2976790728294</v>
      </c>
      <c r="AR21" s="61">
        <f>$L$10*Table53[[#This Row],[Locality''s Allocation Percentage ]]</f>
        <v>3828.1274194691687</v>
      </c>
      <c r="AS21" s="61">
        <f>$L$11*Table53[[#This Row],[Locality''s Allocation Percentage ]]</f>
        <v>2881.1840607194576</v>
      </c>
      <c r="AT21" s="61">
        <f>$L$12*Table53[[#This Row],[Locality''s Allocation Percentage ]]</f>
        <v>4097.5557198322094</v>
      </c>
      <c r="AU21" s="61">
        <f>$L$13*Table53[[#This Row],[Locality''s Allocation Percentage ]]</f>
        <v>4122.148469009162</v>
      </c>
      <c r="AV21" s="61">
        <f>$L$14*Table53[[#This Row],[Locality''s Allocation Percentage ]]</f>
        <v>3833.6774256559834</v>
      </c>
      <c r="AW21" s="61">
        <f>$L$15*Table53[[#This Row],[Locality''s Allocation Percentage ]]</f>
        <v>3546.2550360111177</v>
      </c>
      <c r="AX21" s="61">
        <f>$L$16*Table53[[#This Row],[Locality''s Allocation Percentage ]]</f>
        <v>3247.2757024764751</v>
      </c>
      <c r="AY21" s="61">
        <f>$L$17*Table53[[#This Row],[Locality''s Allocation Percentage ]]</f>
        <v>2535.2524134835858</v>
      </c>
      <c r="AZ21" s="61">
        <f>$L$18*Table53[[#This Row],[Locality''s Allocation Percentage ]]</f>
        <v>2535.2524134835858</v>
      </c>
      <c r="BA21" s="61">
        <f>$L$19*Table53[[#This Row],[Locality''s Allocation Percentage ]]</f>
        <v>2535.2524134835858</v>
      </c>
      <c r="BB21" s="61">
        <f>$L$20*Table53[[#This Row],[Locality''s Allocation Percentage ]]</f>
        <v>2095.4692498619502</v>
      </c>
      <c r="BC21" s="61">
        <f>$L$21*Table53[[#This Row],[Locality''s Allocation Percentage ]]</f>
        <v>2095.4692498619502</v>
      </c>
      <c r="BD21" s="61">
        <f>$L$22*Table53[[#This Row],[Locality''s Allocation Percentage ]]</f>
        <v>1512.4291107205593</v>
      </c>
      <c r="BE21" s="61"/>
      <c r="BF21" s="61">
        <f t="shared" si="3"/>
        <v>0</v>
      </c>
      <c r="BG21" s="61">
        <f t="shared" si="3"/>
        <v>1816.40221690983</v>
      </c>
      <c r="BH21" s="61">
        <f t="shared" si="40"/>
        <v>2102.5790129881857</v>
      </c>
      <c r="BI21" s="61">
        <f t="shared" si="41"/>
        <v>818.77408816355955</v>
      </c>
      <c r="BJ21" s="61">
        <f t="shared" si="42"/>
        <v>898.32441976820735</v>
      </c>
      <c r="BK21" s="61">
        <f t="shared" si="43"/>
        <v>957.03185486729217</v>
      </c>
      <c r="BL21" s="61">
        <f t="shared" si="44"/>
        <v>720.29601517986441</v>
      </c>
      <c r="BM21" s="61">
        <f t="shared" si="45"/>
        <v>1024.3889299580524</v>
      </c>
      <c r="BN21" s="61">
        <f t="shared" si="46"/>
        <v>1030.5371172522905</v>
      </c>
      <c r="BO21" s="61">
        <f t="shared" si="47"/>
        <v>958.41935641399584</v>
      </c>
      <c r="BP21" s="61">
        <f t="shared" si="48"/>
        <v>886.56375900277942</v>
      </c>
      <c r="BQ21" s="61">
        <f t="shared" si="49"/>
        <v>811.81892561911877</v>
      </c>
      <c r="BR21" s="61">
        <f t="shared" si="50"/>
        <v>633.81310337089644</v>
      </c>
      <c r="BS21" s="61">
        <f t="shared" si="51"/>
        <v>633.81310337089644</v>
      </c>
      <c r="BT21" s="61">
        <f t="shared" si="52"/>
        <v>633.81310337089644</v>
      </c>
      <c r="BU21" s="61">
        <f t="shared" si="53"/>
        <v>523.86731246548754</v>
      </c>
      <c r="BV21" s="61">
        <f t="shared" si="54"/>
        <v>523.86731246548754</v>
      </c>
      <c r="BW21" s="61">
        <f t="shared" si="37"/>
        <v>378.10727768013982</v>
      </c>
      <c r="BX21" s="61"/>
      <c r="BY21" s="61">
        <f>($C$6+$D$6+$E$6)*Table53[[#This Row],[Locality''s Allocation Percentage ]]</f>
        <v>20078.924946186464</v>
      </c>
      <c r="BZ21" s="61">
        <f>$L$6*Table53[[#This Row],[Locality''s Allocation Percentage ]]</f>
        <v>7265.6088676393201</v>
      </c>
      <c r="CA21" s="61">
        <f t="shared" si="4"/>
        <v>1816.40221690983</v>
      </c>
      <c r="CB21" s="76">
        <f>($C$7+$D$7+$E$7)*Table53[[#This Row],[Locality''s Allocation Percentage ]]</f>
        <v>7241.2411358256186</v>
      </c>
      <c r="CC21" s="76">
        <f>$L$7*Table53[[#This Row],[Locality''s Allocation Percentage ]]</f>
        <v>8410.3160519527428</v>
      </c>
      <c r="CD21" s="76">
        <f t="shared" si="5"/>
        <v>2102.5790129881857</v>
      </c>
    </row>
    <row r="22" spans="2:82" s="19" customFormat="1" ht="18" customHeight="1" thickBot="1" x14ac:dyDescent="0.3">
      <c r="B22" s="31" t="s">
        <v>88</v>
      </c>
      <c r="C22" s="38">
        <f t="shared" ref="C22" si="57">C51*0.225</f>
        <v>5288160.791711376</v>
      </c>
      <c r="D22" s="38">
        <v>0</v>
      </c>
      <c r="E22" s="38">
        <v>0</v>
      </c>
      <c r="F22" s="38">
        <f t="shared" si="55"/>
        <v>0</v>
      </c>
      <c r="G22" s="38">
        <f t="shared" ref="G22:H22" si="58">G51*0.225</f>
        <v>0</v>
      </c>
      <c r="H22" s="38">
        <f t="shared" si="58"/>
        <v>0</v>
      </c>
      <c r="I22" s="25">
        <f t="shared" si="6"/>
        <v>0</v>
      </c>
      <c r="J22" s="25">
        <f t="shared" si="7"/>
        <v>0</v>
      </c>
      <c r="K22" s="25">
        <f t="shared" si="15"/>
        <v>0</v>
      </c>
      <c r="L22" s="38">
        <f t="shared" si="16"/>
        <v>1938992.2902941711</v>
      </c>
      <c r="M22" s="39">
        <f t="shared" si="2"/>
        <v>7227153.0820055474</v>
      </c>
      <c r="P22" s="36" t="s">
        <v>231</v>
      </c>
      <c r="Q22" s="37">
        <v>4.5600456004559996E-3</v>
      </c>
      <c r="S22" s="22" t="s">
        <v>87</v>
      </c>
      <c r="T22" s="61">
        <f>($C$5+$D$5+$E$5+$F$5+$G$5+$H$5+$I$5+$J$5+$K$5)*Table53[[#This Row],[Locality''s Allocation Percentage ]]</f>
        <v>18542.555307121409</v>
      </c>
      <c r="U22" s="61">
        <f>($C$6+$D$6+$E$6+$F$6+$G$6+$H$6+$I$6+$J$6+$K$6)*Table53[[#This Row],[Locality''s Allocation Percentage ]]</f>
        <v>117384.48430078239</v>
      </c>
      <c r="V22" s="61">
        <f>($C$7+$D$7+$E$7+$F$7+$G$7+$H$7+$I$7+$J$7+$K$7)*Table53[[#This Row],[Locality''s Allocation Percentage ]]</f>
        <v>144765.10546519718</v>
      </c>
      <c r="W22" s="61">
        <f>($C$8+$D$8+$E$8+$F$8+$G$8+$H$8+$I$8+$J$8+$K$8)*Table53[[#This Row],[Locality''s Allocation Percentage ]]</f>
        <v>55517.097464752696</v>
      </c>
      <c r="X22" s="61">
        <f>($C$9+$D$9+$E$9+$F$9+$G$9+$H$9+$I$9+$J$9+$K$9)*Table53[[#This Row],[Locality''s Allocation Percentage ]]</f>
        <v>59656.708940822602</v>
      </c>
      <c r="Y22" s="61">
        <f>($C$10+$D$10+$E$10+$F$10+$G$10+$H$10+$I$10+$J$10+$K$10)*Table53[[#This Row],[Locality''s Allocation Percentage ]]</f>
        <v>63400.847459029959</v>
      </c>
      <c r="Z22" s="61">
        <f>($C$11+$D$11+$E$11+$F$11+$G$11+$H$11+$I$11+$J$11+$K$11)*Table53[[#This Row],[Locality''s Allocation Percentage ]]</f>
        <v>48302.72957127235</v>
      </c>
      <c r="AA22" s="61">
        <f>($C$12+$D$12+$E$12+$F$12+$G$12+$H$12+$I$12+$J$12+$K$12)*Table53[[#This Row],[Locality''s Allocation Percentage ]]</f>
        <v>67696.627352930183</v>
      </c>
      <c r="AB22" s="61">
        <f>($C$13+$D$13+$E$13+$F$13+$G$13+$H$13+$I$13+$J$13+$K$13)*Table53[[#This Row],[Locality''s Allocation Percentage ]]</f>
        <v>68004.642641220504</v>
      </c>
      <c r="AC22" s="61">
        <f>($C$14+$D$14+$E$14+$F$14+$G$14+$H$14+$I$14+$J$14+$K$14)*Table53[[#This Row],[Locality''s Allocation Percentage ]]</f>
        <v>63672.26544935166</v>
      </c>
      <c r="AD22" s="61">
        <f>($C$15+$D$15+$E$15+$F$15+$G$15+$H$15+$I$15+$J$15+$K$15)*Table53[[#This Row],[Locality''s Allocation Percentage ]]</f>
        <v>59088.252194930094</v>
      </c>
      <c r="AE22" s="61">
        <f>($C$16+$D$16+$E$16+$F$16+$G$16+$H$16+$I$16+$J$16+$K$16)*Table53[[#This Row],[Locality''s Allocation Percentage ]]</f>
        <v>54321.308974937201</v>
      </c>
      <c r="AF22" s="61">
        <f>($C$17+$D$17+$E$17+$F$17+$G$17+$H$17+$I$17+$J$17+$K$17)*Table53[[#This Row],[Locality''s Allocation Percentage ]]</f>
        <v>41455.097934674079</v>
      </c>
      <c r="AG22" s="61">
        <f>($C$18+$D$18+$E$18+$F$18+$G$18+$H$18+$I$18+$J$18+$K$18)*Table53[[#This Row],[Locality''s Allocation Percentage ]]</f>
        <v>41455.097934674079</v>
      </c>
      <c r="AH22" s="61">
        <f>($C$19+$D$19+$E$19+$F$19+$G$19+$H$19+$I$19+$J$19+$K$19)*Table53[[#This Row],[Locality''s Allocation Percentage ]]</f>
        <v>41455.097934674079</v>
      </c>
      <c r="AI22" s="61">
        <f>($C$20+$D$20+$E$20+$F$20+$G$20+$H$20+$I$20+$J$20+$K$20)*Table53[[#This Row],[Locality''s Allocation Percentage ]]</f>
        <v>34443.170570636816</v>
      </c>
      <c r="AJ22" s="61">
        <f>($C$21+$D$21+$E$21+$F$21+$G$21+$H$21+$I$21+$J$21+$K$21)*Table53[[#This Row],[Locality''s Allocation Percentage ]]</f>
        <v>34443.170570636816</v>
      </c>
      <c r="AK22" s="61">
        <f>($C$22+$D$22+$E$22+$F$22+$G$22+$H$22+$I$22+$J$22+$K$22)*Table53[[#This Row],[Locality''s Allocation Percentage ]]</f>
        <v>24114.254352747375</v>
      </c>
      <c r="AL22" s="61"/>
      <c r="AM22" s="61"/>
      <c r="AN22" s="61">
        <f>$L$6*Table53[[#This Row],[Locality''s Allocation Percentage ]]</f>
        <v>42475.867226199094</v>
      </c>
      <c r="AO22" s="61">
        <f>$L$7*Table53[[#This Row],[Locality''s Allocation Percentage ]]</f>
        <v>49168.001534492949</v>
      </c>
      <c r="AP22" s="61">
        <f>$L$8*Table53[[#This Row],[Locality''s Allocation Percentage ]]</f>
        <v>19146.717138594006</v>
      </c>
      <c r="AQ22" s="61">
        <f>$L$9*Table53[[#This Row],[Locality''s Allocation Percentage ]]</f>
        <v>21006.971046887309</v>
      </c>
      <c r="AR22" s="61">
        <f>$L$10*Table53[[#This Row],[Locality''s Allocation Percentage ]]</f>
        <v>22379.821836896674</v>
      </c>
      <c r="AS22" s="61">
        <f>$L$11*Table53[[#This Row],[Locality''s Allocation Percentage ]]</f>
        <v>16843.845278052213</v>
      </c>
      <c r="AT22" s="61">
        <f>$L$12*Table53[[#This Row],[Locality''s Allocation Percentage ]]</f>
        <v>23954.941131326759</v>
      </c>
      <c r="AU22" s="61">
        <f>$L$13*Table53[[#This Row],[Locality''s Allocation Percentage ]]</f>
        <v>24098.7141265151</v>
      </c>
      <c r="AV22" s="61">
        <f>$L$14*Table53[[#This Row],[Locality''s Allocation Percentage ]]</f>
        <v>22412.268026911897</v>
      </c>
      <c r="AW22" s="61">
        <f>$L$15*Table53[[#This Row],[Locality''s Allocation Percentage ]]</f>
        <v>20731.952518218837</v>
      </c>
      <c r="AX22" s="61">
        <f>$L$16*Table53[[#This Row],[Locality''s Allocation Percentage ]]</f>
        <v>18984.073337554775</v>
      </c>
      <c r="AY22" s="61">
        <f>$L$17*Table53[[#This Row],[Locality''s Allocation Percentage ]]</f>
        <v>14821.475648057884</v>
      </c>
      <c r="AZ22" s="61">
        <f>$L$18*Table53[[#This Row],[Locality''s Allocation Percentage ]]</f>
        <v>14821.475648057884</v>
      </c>
      <c r="BA22" s="61">
        <f>$L$19*Table53[[#This Row],[Locality''s Allocation Percentage ]]</f>
        <v>14821.475648057884</v>
      </c>
      <c r="BB22" s="61">
        <f>$L$20*Table53[[#This Row],[Locality''s Allocation Percentage ]]</f>
        <v>12250.435614577553</v>
      </c>
      <c r="BC22" s="61">
        <f>$L$21*Table53[[#This Row],[Locality''s Allocation Percentage ]]</f>
        <v>12250.435614577553</v>
      </c>
      <c r="BD22" s="61">
        <f>$L$22*Table53[[#This Row],[Locality''s Allocation Percentage ]]</f>
        <v>8841.893262674037</v>
      </c>
      <c r="BE22" s="61"/>
      <c r="BF22" s="61">
        <f t="shared" si="3"/>
        <v>0</v>
      </c>
      <c r="BG22" s="61">
        <f t="shared" si="3"/>
        <v>10618.966806549774</v>
      </c>
      <c r="BH22" s="61">
        <f t="shared" si="40"/>
        <v>12292.000383623237</v>
      </c>
      <c r="BI22" s="61">
        <f t="shared" si="41"/>
        <v>4786.6792846485014</v>
      </c>
      <c r="BJ22" s="61">
        <f t="shared" si="42"/>
        <v>5251.7427617218273</v>
      </c>
      <c r="BK22" s="61">
        <f t="shared" si="43"/>
        <v>5594.9554592241684</v>
      </c>
      <c r="BL22" s="61">
        <f t="shared" si="44"/>
        <v>4210.9613195130532</v>
      </c>
      <c r="BM22" s="61">
        <f t="shared" si="45"/>
        <v>5988.7352828316898</v>
      </c>
      <c r="BN22" s="61">
        <f t="shared" si="46"/>
        <v>6024.6785316287751</v>
      </c>
      <c r="BO22" s="61">
        <f t="shared" si="47"/>
        <v>5603.0670067279743</v>
      </c>
      <c r="BP22" s="61">
        <f t="shared" si="48"/>
        <v>5182.9881295547093</v>
      </c>
      <c r="BQ22" s="61">
        <f t="shared" si="49"/>
        <v>4746.0183343886938</v>
      </c>
      <c r="BR22" s="61">
        <f t="shared" si="50"/>
        <v>3705.3689120144709</v>
      </c>
      <c r="BS22" s="61">
        <f t="shared" si="51"/>
        <v>3705.3689120144709</v>
      </c>
      <c r="BT22" s="61">
        <f t="shared" si="52"/>
        <v>3705.3689120144709</v>
      </c>
      <c r="BU22" s="61">
        <f t="shared" si="53"/>
        <v>3062.6089036443882</v>
      </c>
      <c r="BV22" s="61">
        <f t="shared" si="54"/>
        <v>3062.6089036443882</v>
      </c>
      <c r="BW22" s="61">
        <f t="shared" si="37"/>
        <v>2210.4733156685093</v>
      </c>
      <c r="BX22" s="61"/>
      <c r="BY22" s="61">
        <f>($C$6+$D$6+$E$6)*Table53[[#This Row],[Locality''s Allocation Percentage ]]</f>
        <v>117384.48430078239</v>
      </c>
      <c r="BZ22" s="61">
        <f>$L$6*Table53[[#This Row],[Locality''s Allocation Percentage ]]</f>
        <v>42475.867226199094</v>
      </c>
      <c r="CA22" s="61">
        <f t="shared" si="4"/>
        <v>10618.966806549774</v>
      </c>
      <c r="CB22" s="76">
        <f>($C$7+$D$7+$E$7)*Table53[[#This Row],[Locality''s Allocation Percentage ]]</f>
        <v>42333.409717134382</v>
      </c>
      <c r="CC22" s="76">
        <f>$L$7*Table53[[#This Row],[Locality''s Allocation Percentage ]]</f>
        <v>49168.001534492949</v>
      </c>
      <c r="CD22" s="76">
        <f t="shared" si="5"/>
        <v>12292.000383623237</v>
      </c>
    </row>
    <row r="23" spans="2:82" s="19" customFormat="1" ht="18" customHeight="1" thickBot="1" x14ac:dyDescent="0.3">
      <c r="B23" s="40" t="s">
        <v>26</v>
      </c>
      <c r="C23" s="41">
        <f>SUM(C5:C22)</f>
        <v>98434665.342174113</v>
      </c>
      <c r="D23" s="41">
        <f t="shared" ref="D23:K23" si="59">SUM(D5:D22)</f>
        <v>23241294.420651488</v>
      </c>
      <c r="E23" s="41">
        <f t="shared" si="59"/>
        <v>2277834.9619999998</v>
      </c>
      <c r="F23" s="41">
        <f t="shared" si="59"/>
        <v>19864168.813636363</v>
      </c>
      <c r="G23" s="41">
        <f t="shared" si="59"/>
        <v>10942088.076818181</v>
      </c>
      <c r="H23" s="41">
        <f t="shared" si="59"/>
        <v>13759218.130909091</v>
      </c>
      <c r="I23" s="41">
        <f t="shared" si="59"/>
        <v>27537006.847090911</v>
      </c>
      <c r="J23" s="41">
        <f t="shared" si="59"/>
        <v>29356481.563636363</v>
      </c>
      <c r="K23" s="41">
        <f t="shared" si="59"/>
        <v>2154815.7981818179</v>
      </c>
      <c r="L23" s="42">
        <f>SUM(L5:L22)</f>
        <v>78729555.818861052</v>
      </c>
      <c r="M23" s="43">
        <f t="shared" ref="M23" si="60">SUM(C23:L23)</f>
        <v>306297129.7739594</v>
      </c>
      <c r="N23" s="19">
        <v>1495111.11</v>
      </c>
      <c r="P23" s="36" t="s">
        <v>232</v>
      </c>
      <c r="Q23" s="37">
        <v>3.1800318003180001E-3</v>
      </c>
      <c r="S23" s="22" t="s">
        <v>89</v>
      </c>
      <c r="T23" s="61">
        <f>($C$5+$D$5+$E$5+$F$5+$G$5+$H$5+$I$5+$J$5+$K$5)*Table53[[#This Row],[Locality''s Allocation Percentage ]]</f>
        <v>12930.992516808352</v>
      </c>
      <c r="U23" s="61">
        <f>($C$6+$D$6+$E$6+$F$6+$G$6+$H$6+$I$6+$J$6+$K$6)*Table53[[#This Row],[Locality''s Allocation Percentage ]]</f>
        <v>81860.232472914053</v>
      </c>
      <c r="V23" s="61">
        <f>($C$7+$D$7+$E$7+$F$7+$G$7+$H$7+$I$7+$J$7+$K$7)*Table53[[#This Row],[Locality''s Allocation Percentage ]]</f>
        <v>100954.61302178225</v>
      </c>
      <c r="W23" s="61">
        <f>($C$8+$D$8+$E$8+$F$8+$G$8+$H$8+$I$8+$J$8+$K$8)*Table53[[#This Row],[Locality''s Allocation Percentage ]]</f>
        <v>38715.870600419643</v>
      </c>
      <c r="X23" s="61">
        <f>($C$9+$D$9+$E$9+$F$9+$G$9+$H$9+$I$9+$J$9+$K$9)*Table53[[#This Row],[Locality''s Allocation Percentage ]]</f>
        <v>41602.704919257871</v>
      </c>
      <c r="Y23" s="61">
        <f>($C$10+$D$10+$E$10+$F$10+$G$10+$H$10+$I$10+$J$10+$K$10)*Table53[[#This Row],[Locality''s Allocation Percentage ]]</f>
        <v>44213.748885902482</v>
      </c>
      <c r="Z23" s="61">
        <f>($C$11+$D$11+$E$11+$F$11+$G$11+$H$11+$I$11+$J$11+$K$11)*Table53[[#This Row],[Locality''s Allocation Percentage ]]</f>
        <v>33684.798253650457</v>
      </c>
      <c r="AA23" s="61">
        <f>($C$12+$D$12+$E$12+$F$12+$G$12+$H$12+$I$12+$J$12+$K$12)*Table53[[#This Row],[Locality''s Allocation Percentage ]]</f>
        <v>47209.49012770132</v>
      </c>
      <c r="AB23" s="61">
        <f>($C$13+$D$13+$E$13+$F$13+$G$13+$H$13+$I$13+$J$13+$K$13)*Table53[[#This Row],[Locality''s Allocation Percentage ]]</f>
        <v>47424.290262956405</v>
      </c>
      <c r="AC23" s="61">
        <f>($C$14+$D$14+$E$14+$F$14+$G$14+$H$14+$I$14+$J$14+$K$14)*Table53[[#This Row],[Locality''s Allocation Percentage ]]</f>
        <v>44403.027221258395</v>
      </c>
      <c r="AD23" s="61">
        <f>($C$15+$D$15+$E$15+$F$15+$G$15+$H$15+$I$15+$J$15+$K$15)*Table53[[#This Row],[Locality''s Allocation Percentage ]]</f>
        <v>41206.281135938101</v>
      </c>
      <c r="AE23" s="61">
        <f>($C$16+$D$16+$E$16+$F$16+$G$16+$H$16+$I$16+$J$16+$K$16)*Table53[[#This Row],[Locality''s Allocation Percentage ]]</f>
        <v>37881.965469364106</v>
      </c>
      <c r="AF23" s="61">
        <f>($C$17+$D$17+$E$17+$F$17+$G$17+$H$17+$I$17+$J$17+$K$17)*Table53[[#This Row],[Locality''s Allocation Percentage ]]</f>
        <v>28909.476191285878</v>
      </c>
      <c r="AG23" s="61">
        <f>($C$18+$D$18+$E$18+$F$18+$G$18+$H$18+$I$18+$J$18+$K$18)*Table53[[#This Row],[Locality''s Allocation Percentage ]]</f>
        <v>28909.476191285878</v>
      </c>
      <c r="AH23" s="61">
        <f>($C$19+$D$19+$E$19+$F$19+$G$19+$H$19+$I$19+$J$19+$K$19)*Table53[[#This Row],[Locality''s Allocation Percentage ]]</f>
        <v>28909.476191285878</v>
      </c>
      <c r="AI23" s="61">
        <f>($C$20+$D$20+$E$20+$F$20+$G$20+$H$20+$I$20+$J$20+$K$20)*Table53[[#This Row],[Locality''s Allocation Percentage ]]</f>
        <v>24019.579476891464</v>
      </c>
      <c r="AJ23" s="61">
        <f>($C$21+$D$21+$E$21+$F$21+$G$21+$H$21+$I$21+$J$21+$K$21)*Table53[[#This Row],[Locality''s Allocation Percentage ]]</f>
        <v>24019.579476891464</v>
      </c>
      <c r="AK23" s="61">
        <f>($C$22+$D$22+$E$22+$F$22+$G$22+$H$22+$I$22+$J$22+$K$22)*Table53[[#This Row],[Locality''s Allocation Percentage ]]</f>
        <v>16816.519482836989</v>
      </c>
      <c r="AL23" s="61"/>
      <c r="AM23" s="61"/>
      <c r="AN23" s="61">
        <f>$L$6*Table53[[#This Row],[Locality''s Allocation Percentage ]]</f>
        <v>29621.328460375687</v>
      </c>
      <c r="AO23" s="61">
        <f>$L$7*Table53[[#This Row],[Locality''s Allocation Percentage ]]</f>
        <v>34288.21159642272</v>
      </c>
      <c r="AP23" s="61">
        <f>$L$8*Table53[[#This Row],[Locality''s Allocation Percentage ]]</f>
        <v>13352.315899282663</v>
      </c>
      <c r="AQ23" s="61">
        <f>$L$9*Table53[[#This Row],[Locality''s Allocation Percentage ]]</f>
        <v>14649.598230066151</v>
      </c>
      <c r="AR23" s="61">
        <f>$L$10*Table53[[#This Row],[Locality''s Allocation Percentage ]]</f>
        <v>15606.98101783584</v>
      </c>
      <c r="AS23" s="61">
        <f>$L$11*Table53[[#This Row],[Locality''s Allocation Percentage ]]</f>
        <v>11746.365786010098</v>
      </c>
      <c r="AT23" s="61">
        <f>$L$12*Table53[[#This Row],[Locality''s Allocation Percentage ]]</f>
        <v>16705.419473162085</v>
      </c>
      <c r="AU23" s="61">
        <f>$L$13*Table53[[#This Row],[Locality''s Allocation Percentage ]]</f>
        <v>16805.682219806586</v>
      </c>
      <c r="AV23" s="61">
        <f>$L$14*Table53[[#This Row],[Locality''s Allocation Percentage ]]</f>
        <v>15629.607966135931</v>
      </c>
      <c r="AW23" s="61">
        <f>$L$15*Table53[[#This Row],[Locality''s Allocation Percentage ]]</f>
        <v>14457.808992968401</v>
      </c>
      <c r="AX23" s="61">
        <f>$L$16*Table53[[#This Row],[Locality''s Allocation Percentage ]]</f>
        <v>13238.893248557937</v>
      </c>
      <c r="AY23" s="61">
        <f>$L$17*Table53[[#This Row],[Locality''s Allocation Percentage ]]</f>
        <v>10336.029070356157</v>
      </c>
      <c r="AZ23" s="61">
        <f>$L$18*Table53[[#This Row],[Locality''s Allocation Percentage ]]</f>
        <v>10336.029070356157</v>
      </c>
      <c r="BA23" s="61">
        <f>$L$19*Table53[[#This Row],[Locality''s Allocation Percentage ]]</f>
        <v>10336.029070356157</v>
      </c>
      <c r="BB23" s="61">
        <f>$L$20*Table53[[#This Row],[Locality''s Allocation Percentage ]]</f>
        <v>8543.0669417448735</v>
      </c>
      <c r="BC23" s="61">
        <f>$L$21*Table53[[#This Row],[Locality''s Allocation Percentage ]]</f>
        <v>8543.0669417448735</v>
      </c>
      <c r="BD23" s="61">
        <f>$L$22*Table53[[#This Row],[Locality''s Allocation Percentage ]]</f>
        <v>6166.0571437068947</v>
      </c>
      <c r="BE23" s="61"/>
      <c r="BF23" s="61">
        <f t="shared" si="3"/>
        <v>0</v>
      </c>
      <c r="BG23" s="61">
        <f t="shared" si="3"/>
        <v>7405.3321150939219</v>
      </c>
      <c r="BH23" s="61">
        <f t="shared" si="40"/>
        <v>8572.0528991056799</v>
      </c>
      <c r="BI23" s="61">
        <f t="shared" si="41"/>
        <v>3338.0789748206657</v>
      </c>
      <c r="BJ23" s="61">
        <f t="shared" si="42"/>
        <v>3662.3995575165377</v>
      </c>
      <c r="BK23" s="61">
        <f t="shared" si="43"/>
        <v>3901.7452544589601</v>
      </c>
      <c r="BL23" s="61">
        <f t="shared" si="44"/>
        <v>2936.5914465025244</v>
      </c>
      <c r="BM23" s="61">
        <f t="shared" si="45"/>
        <v>4176.3548682905212</v>
      </c>
      <c r="BN23" s="61">
        <f t="shared" si="46"/>
        <v>4201.4205549516464</v>
      </c>
      <c r="BO23" s="61">
        <f t="shared" si="47"/>
        <v>3907.4019915339827</v>
      </c>
      <c r="BP23" s="61">
        <f t="shared" si="48"/>
        <v>3614.4522482421003</v>
      </c>
      <c r="BQ23" s="61">
        <f t="shared" si="49"/>
        <v>3309.7233121394843</v>
      </c>
      <c r="BR23" s="61">
        <f t="shared" si="50"/>
        <v>2584.0072675890392</v>
      </c>
      <c r="BS23" s="61">
        <f t="shared" si="51"/>
        <v>2584.0072675890392</v>
      </c>
      <c r="BT23" s="61">
        <f t="shared" si="52"/>
        <v>2584.0072675890392</v>
      </c>
      <c r="BU23" s="61">
        <f t="shared" si="53"/>
        <v>2135.7667354362184</v>
      </c>
      <c r="BV23" s="61">
        <f t="shared" si="54"/>
        <v>2135.7667354362184</v>
      </c>
      <c r="BW23" s="61">
        <f t="shared" si="37"/>
        <v>1541.5142859267237</v>
      </c>
      <c r="BX23" s="61"/>
      <c r="BY23" s="61">
        <f>($C$6+$D$6+$E$6)*Table53[[#This Row],[Locality''s Allocation Percentage ]]</f>
        <v>81860.232472914053</v>
      </c>
      <c r="BZ23" s="61">
        <f>$L$6*Table53[[#This Row],[Locality''s Allocation Percentage ]]</f>
        <v>29621.328460375687</v>
      </c>
      <c r="CA23" s="61">
        <f t="shared" si="4"/>
        <v>7405.3321150939219</v>
      </c>
      <c r="CB23" s="76">
        <f>($C$7+$D$7+$E$7)*Table53[[#This Row],[Locality''s Allocation Percentage ]]</f>
        <v>29521.983092212136</v>
      </c>
      <c r="CC23" s="76">
        <f>$L$7*Table53[[#This Row],[Locality''s Allocation Percentage ]]</f>
        <v>34288.21159642272</v>
      </c>
      <c r="CD23" s="76">
        <f t="shared" si="5"/>
        <v>8572.0528991056799</v>
      </c>
    </row>
    <row r="24" spans="2:82" s="19" customFormat="1" ht="18" customHeight="1" x14ac:dyDescent="0.25">
      <c r="B24" s="248" t="s">
        <v>323</v>
      </c>
      <c r="C24" s="249"/>
      <c r="D24" s="249"/>
      <c r="E24" s="249"/>
      <c r="F24" s="249"/>
      <c r="G24" s="249"/>
      <c r="H24" s="249"/>
      <c r="I24" s="249"/>
      <c r="J24" s="249"/>
      <c r="K24" s="249"/>
      <c r="L24" s="249"/>
      <c r="M24" s="250"/>
      <c r="N24" s="19">
        <f>N23*Q4</f>
        <v>5203.038693186927</v>
      </c>
      <c r="P24" s="36" t="s">
        <v>234</v>
      </c>
      <c r="Q24" s="37">
        <v>4.4000440004400001E-3</v>
      </c>
      <c r="S24" s="22" t="s">
        <v>90</v>
      </c>
      <c r="T24" s="61">
        <f>($C$5+$D$5+$E$5+$F$5+$G$5+$H$5+$I$5+$J$5+$K$5)*Table53[[#This Row],[Locality''s Allocation Percentage ]]</f>
        <v>17891.939331432939</v>
      </c>
      <c r="U24" s="61">
        <f>($C$6+$D$6+$E$6+$F$6+$G$6+$H$6+$I$6+$J$6+$K$6)*Table53[[#This Row],[Locality''s Allocation Percentage ]]</f>
        <v>113265.73046566723</v>
      </c>
      <c r="V24" s="61">
        <f>($C$7+$D$7+$E$7+$F$7+$G$7+$H$7+$I$7+$J$7+$K$7)*Table53[[#This Row],[Locality''s Allocation Percentage ]]</f>
        <v>139685.62808045343</v>
      </c>
      <c r="W24" s="61">
        <f>($C$8+$D$8+$E$8+$F$8+$G$8+$H$8+$I$8+$J$8+$K$8)*Table53[[#This Row],[Locality''s Allocation Percentage ]]</f>
        <v>53569.129132656111</v>
      </c>
      <c r="X24" s="61">
        <f>($C$9+$D$9+$E$9+$F$9+$G$9+$H$9+$I$9+$J$9+$K$9)*Table53[[#This Row],[Locality''s Allocation Percentage ]]</f>
        <v>57563.491083249886</v>
      </c>
      <c r="Y24" s="61">
        <f>($C$10+$D$10+$E$10+$F$10+$G$10+$H$10+$I$10+$J$10+$K$10)*Table53[[#This Row],[Locality''s Allocation Percentage ]]</f>
        <v>61176.256320116641</v>
      </c>
      <c r="Z24" s="61">
        <f>($C$11+$D$11+$E$11+$F$11+$G$11+$H$11+$I$11+$J$11+$K$11)*Table53[[#This Row],[Locality''s Allocation Percentage ]]</f>
        <v>46607.896954736483</v>
      </c>
      <c r="AA24" s="61">
        <f>($C$12+$D$12+$E$12+$F$12+$G$12+$H$12+$I$12+$J$12+$K$12)*Table53[[#This Row],[Locality''s Allocation Percentage ]]</f>
        <v>65321.30709493265</v>
      </c>
      <c r="AB24" s="61">
        <f>($C$13+$D$13+$E$13+$F$13+$G$13+$H$13+$I$13+$J$13+$K$13)*Table53[[#This Row],[Locality''s Allocation Percentage ]]</f>
        <v>65618.514829247855</v>
      </c>
      <c r="AC24" s="61">
        <f>($C$14+$D$14+$E$14+$F$14+$G$14+$H$14+$I$14+$J$14+$K$14)*Table53[[#This Row],[Locality''s Allocation Percentage ]]</f>
        <v>61438.150872181432</v>
      </c>
      <c r="AD24" s="61">
        <f>($C$15+$D$15+$E$15+$F$15+$G$15+$H$15+$I$15+$J$15+$K$15)*Table53[[#This Row],[Locality''s Allocation Percentage ]]</f>
        <v>57014.980188090449</v>
      </c>
      <c r="AE24" s="61">
        <f>($C$16+$D$16+$E$16+$F$16+$G$16+$H$16+$I$16+$J$16+$K$16)*Table53[[#This Row],[Locality''s Allocation Percentage ]]</f>
        <v>52415.298133711338</v>
      </c>
      <c r="AF24" s="61">
        <f>($C$17+$D$17+$E$17+$F$17+$G$17+$H$17+$I$17+$J$17+$K$17)*Table53[[#This Row],[Locality''s Allocation Percentage ]]</f>
        <v>40000.533094860963</v>
      </c>
      <c r="AG24" s="61">
        <f>($C$18+$D$18+$E$18+$F$18+$G$18+$H$18+$I$18+$J$18+$K$18)*Table53[[#This Row],[Locality''s Allocation Percentage ]]</f>
        <v>40000.533094860963</v>
      </c>
      <c r="AH24" s="61">
        <f>($C$19+$D$19+$E$19+$F$19+$G$19+$H$19+$I$19+$J$19+$K$19)*Table53[[#This Row],[Locality''s Allocation Percentage ]]</f>
        <v>40000.533094860963</v>
      </c>
      <c r="AI24" s="61">
        <f>($C$20+$D$20+$E$20+$F$20+$G$20+$H$20+$I$20+$J$20+$K$20)*Table53[[#This Row],[Locality''s Allocation Percentage ]]</f>
        <v>33234.638269912721</v>
      </c>
      <c r="AJ24" s="61">
        <f>($C$21+$D$21+$E$21+$F$21+$G$21+$H$21+$I$21+$J$21+$K$21)*Table53[[#This Row],[Locality''s Allocation Percentage ]]</f>
        <v>33234.638269912721</v>
      </c>
      <c r="AK24" s="61">
        <f>($C$22+$D$22+$E$22+$F$22+$G$22+$H$22+$I$22+$J$22+$K$22)*Table53[[#This Row],[Locality''s Allocation Percentage ]]</f>
        <v>23268.140164931683</v>
      </c>
      <c r="AL24" s="61"/>
      <c r="AM24" s="61"/>
      <c r="AN24" s="61">
        <f>$L$6*Table53[[#This Row],[Locality''s Allocation Percentage ]]</f>
        <v>40985.485920016676</v>
      </c>
      <c r="AO24" s="61">
        <f>$L$7*Table53[[#This Row],[Locality''s Allocation Percentage ]]</f>
        <v>47442.808498194958</v>
      </c>
      <c r="AP24" s="61">
        <f>$L$8*Table53[[#This Row],[Locality''s Allocation Percentage ]]</f>
        <v>18474.902502152112</v>
      </c>
      <c r="AQ24" s="61">
        <f>$L$9*Table53[[#This Row],[Locality''s Allocation Percentage ]]</f>
        <v>20269.884343487756</v>
      </c>
      <c r="AR24" s="61">
        <f>$L$10*Table53[[#This Row],[Locality''s Allocation Percentage ]]</f>
        <v>21594.5649303389</v>
      </c>
      <c r="AS24" s="61">
        <f>$L$11*Table53[[#This Row],[Locality''s Allocation Percentage ]]</f>
        <v>16252.833163032839</v>
      </c>
      <c r="AT24" s="61">
        <f>$L$12*Table53[[#This Row],[Locality''s Allocation Percentage ]]</f>
        <v>23114.416881104768</v>
      </c>
      <c r="AU24" s="61">
        <f>$L$13*Table53[[#This Row],[Locality''s Allocation Percentage ]]</f>
        <v>23253.145209795275</v>
      </c>
      <c r="AV24" s="61">
        <f>$L$14*Table53[[#This Row],[Locality''s Allocation Percentage ]]</f>
        <v>21625.87265754657</v>
      </c>
      <c r="AW24" s="61">
        <f>$L$15*Table53[[#This Row],[Locality''s Allocation Percentage ]]</f>
        <v>20004.515587755021</v>
      </c>
      <c r="AX24" s="61">
        <f>$L$16*Table53[[#This Row],[Locality''s Allocation Percentage ]]</f>
        <v>18317.965501149345</v>
      </c>
      <c r="AY24" s="61">
        <f>$L$17*Table53[[#This Row],[Locality''s Allocation Percentage ]]</f>
        <v>14301.423870933048</v>
      </c>
      <c r="AZ24" s="61">
        <f>$L$18*Table53[[#This Row],[Locality''s Allocation Percentage ]]</f>
        <v>14301.423870933048</v>
      </c>
      <c r="BA24" s="61">
        <f>$L$19*Table53[[#This Row],[Locality''s Allocation Percentage ]]</f>
        <v>14301.423870933048</v>
      </c>
      <c r="BB24" s="61">
        <f>$L$20*Table53[[#This Row],[Locality''s Allocation Percentage ]]</f>
        <v>11820.595768452027</v>
      </c>
      <c r="BC24" s="61">
        <f>$L$21*Table53[[#This Row],[Locality''s Allocation Percentage ]]</f>
        <v>11820.595768452027</v>
      </c>
      <c r="BD24" s="61">
        <f>$L$22*Table53[[#This Row],[Locality''s Allocation Percentage ]]</f>
        <v>8531.6513938082826</v>
      </c>
      <c r="BE24" s="61"/>
      <c r="BF24" s="61">
        <f t="shared" si="3"/>
        <v>0</v>
      </c>
      <c r="BG24" s="61">
        <f t="shared" si="3"/>
        <v>10246.371480004169</v>
      </c>
      <c r="BH24" s="61">
        <f t="shared" si="40"/>
        <v>11860.702124548739</v>
      </c>
      <c r="BI24" s="61">
        <f t="shared" si="41"/>
        <v>4618.725625538028</v>
      </c>
      <c r="BJ24" s="61">
        <f t="shared" si="42"/>
        <v>5067.4710858719391</v>
      </c>
      <c r="BK24" s="61">
        <f t="shared" si="43"/>
        <v>5398.641232584725</v>
      </c>
      <c r="BL24" s="61">
        <f t="shared" si="44"/>
        <v>4063.2082907582098</v>
      </c>
      <c r="BM24" s="61">
        <f t="shared" si="45"/>
        <v>5778.6042202761919</v>
      </c>
      <c r="BN24" s="61">
        <f t="shared" si="46"/>
        <v>5813.2863024488188</v>
      </c>
      <c r="BO24" s="61">
        <f t="shared" si="47"/>
        <v>5406.4681643866425</v>
      </c>
      <c r="BP24" s="61">
        <f t="shared" si="48"/>
        <v>5001.1288969387551</v>
      </c>
      <c r="BQ24" s="61">
        <f t="shared" si="49"/>
        <v>4579.4913752873363</v>
      </c>
      <c r="BR24" s="61">
        <f t="shared" si="50"/>
        <v>3575.3559677332619</v>
      </c>
      <c r="BS24" s="61">
        <f t="shared" si="51"/>
        <v>3575.3559677332619</v>
      </c>
      <c r="BT24" s="61">
        <f t="shared" si="52"/>
        <v>3575.3559677332619</v>
      </c>
      <c r="BU24" s="61">
        <f t="shared" si="53"/>
        <v>2955.1489421130068</v>
      </c>
      <c r="BV24" s="61">
        <f t="shared" si="54"/>
        <v>2955.1489421130068</v>
      </c>
      <c r="BW24" s="61">
        <f t="shared" si="37"/>
        <v>2132.9128484520706</v>
      </c>
      <c r="BX24" s="61"/>
      <c r="BY24" s="61">
        <f>($C$6+$D$6+$E$6)*Table53[[#This Row],[Locality''s Allocation Percentage ]]</f>
        <v>113265.73046566723</v>
      </c>
      <c r="BZ24" s="61">
        <f>$L$6*Table53[[#This Row],[Locality''s Allocation Percentage ]]</f>
        <v>40985.485920016676</v>
      </c>
      <c r="CA24" s="61">
        <f t="shared" si="4"/>
        <v>10246.371480004169</v>
      </c>
      <c r="CB24" s="76">
        <f>($C$7+$D$7+$E$7)*Table53[[#This Row],[Locality''s Allocation Percentage ]]</f>
        <v>40848.02692004195</v>
      </c>
      <c r="CC24" s="76">
        <f>$L$7*Table53[[#This Row],[Locality''s Allocation Percentage ]]</f>
        <v>47442.808498194958</v>
      </c>
      <c r="CD24" s="76">
        <f t="shared" si="5"/>
        <v>11860.702124548739</v>
      </c>
    </row>
    <row r="25" spans="2:82" s="19" customFormat="1" ht="18" customHeight="1" x14ac:dyDescent="0.25">
      <c r="B25" s="248"/>
      <c r="C25" s="249"/>
      <c r="D25" s="249"/>
      <c r="E25" s="249"/>
      <c r="F25" s="249"/>
      <c r="G25" s="249"/>
      <c r="H25" s="249"/>
      <c r="I25" s="249"/>
      <c r="J25" s="249"/>
      <c r="K25" s="249"/>
      <c r="L25" s="249"/>
      <c r="M25" s="250"/>
      <c r="N25" s="53">
        <f>1495111.11+2265090.56</f>
        <v>3760201.67</v>
      </c>
      <c r="P25" s="36" t="s">
        <v>235</v>
      </c>
      <c r="Q25" s="37">
        <v>7.3000730007300005E-4</v>
      </c>
      <c r="S25" s="22" t="s">
        <v>91</v>
      </c>
      <c r="T25" s="61">
        <f>($C$5+$D$5+$E$5+$F$5+$G$5+$H$5+$I$5+$J$5+$K$5)*Table53[[#This Row],[Locality''s Allocation Percentage ]]</f>
        <v>2968.4353890786469</v>
      </c>
      <c r="U25" s="61">
        <f>($C$6+$D$6+$E$6+$F$6+$G$6+$H$6+$I$6+$J$6+$K$6)*Table53[[#This Row],[Locality''s Allocation Percentage ]]</f>
        <v>18791.814372712975</v>
      </c>
      <c r="V25" s="61">
        <f>($C$7+$D$7+$E$7+$F$7+$G$7+$H$7+$I$7+$J$7+$K$7)*Table53[[#This Row],[Locality''s Allocation Percentage ]]</f>
        <v>23175.115567893412</v>
      </c>
      <c r="W25" s="61">
        <f>($C$8+$D$8+$E$8+$F$8+$G$8+$H$8+$I$8+$J$8+$K$8)*Table53[[#This Row],[Locality''s Allocation Percentage ]]</f>
        <v>8887.605515190673</v>
      </c>
      <c r="X25" s="61">
        <f>($C$9+$D$9+$E$9+$F$9+$G$9+$H$9+$I$9+$J$9+$K$9)*Table53[[#This Row],[Locality''s Allocation Percentage ]]</f>
        <v>9550.3064751755501</v>
      </c>
      <c r="Y25" s="61">
        <f>($C$10+$D$10+$E$10+$F$10+$G$10+$H$10+$I$10+$J$10+$K$10)*Table53[[#This Row],[Locality''s Allocation Percentage ]]</f>
        <v>10149.697071292079</v>
      </c>
      <c r="Z25" s="61">
        <f>($C$11+$D$11+$E$11+$F$11+$G$11+$H$11+$I$11+$J$11+$K$11)*Table53[[#This Row],[Locality''s Allocation Percentage ]]</f>
        <v>7732.6738129449168</v>
      </c>
      <c r="AA25" s="61">
        <f>($C$12+$D$12+$E$12+$F$12+$G$12+$H$12+$I$12+$J$12+$K$12)*Table53[[#This Row],[Locality''s Allocation Percentage ]]</f>
        <v>10837.398677113826</v>
      </c>
      <c r="AB25" s="61">
        <f>($C$13+$D$13+$E$13+$F$13+$G$13+$H$13+$I$13+$J$13+$K$13)*Table53[[#This Row],[Locality''s Allocation Percentage ]]</f>
        <v>10886.708142125213</v>
      </c>
      <c r="AC25" s="61">
        <f>($C$14+$D$14+$E$14+$F$14+$G$14+$H$14+$I$14+$J$14+$K$14)*Table53[[#This Row],[Locality''s Allocation Percentage ]]</f>
        <v>10193.147758339193</v>
      </c>
      <c r="AD25" s="61">
        <f>($C$15+$D$15+$E$15+$F$15+$G$15+$H$15+$I$15+$J$15+$K$15)*Table53[[#This Row],[Locality''s Allocation Percentage ]]</f>
        <v>9459.3035312059164</v>
      </c>
      <c r="AE25" s="61">
        <f>($C$16+$D$16+$E$16+$F$16+$G$16+$H$16+$I$16+$J$16+$K$16)*Table53[[#This Row],[Locality''s Allocation Percentage ]]</f>
        <v>8696.1744630930189</v>
      </c>
      <c r="AF25" s="61">
        <f>($C$17+$D$17+$E$17+$F$17+$G$17+$H$17+$I$17+$J$17+$K$17)*Table53[[#This Row],[Locality''s Allocation Percentage ]]</f>
        <v>6636.4520816473869</v>
      </c>
      <c r="AG25" s="61">
        <f>($C$18+$D$18+$E$18+$F$18+$G$18+$H$18+$I$18+$J$18+$K$18)*Table53[[#This Row],[Locality''s Allocation Percentage ]]</f>
        <v>6636.4520816473869</v>
      </c>
      <c r="AH25" s="61">
        <f>($C$19+$D$19+$E$19+$F$19+$G$19+$H$19+$I$19+$J$19+$K$19)*Table53[[#This Row],[Locality''s Allocation Percentage ]]</f>
        <v>6636.4520816473869</v>
      </c>
      <c r="AI25" s="61">
        <f>($C$20+$D$20+$E$20+$F$20+$G$20+$H$20+$I$20+$J$20+$K$20)*Table53[[#This Row],[Locality''s Allocation Percentage ]]</f>
        <v>5513.9286220537015</v>
      </c>
      <c r="AJ25" s="61">
        <f>($C$21+$D$21+$E$21+$F$21+$G$21+$H$21+$I$21+$J$21+$K$21)*Table53[[#This Row],[Locality''s Allocation Percentage ]]</f>
        <v>5513.9286220537015</v>
      </c>
      <c r="AK25" s="61">
        <f>($C$22+$D$22+$E$22+$F$22+$G$22+$H$22+$I$22+$J$22+$K$22)*Table53[[#This Row],[Locality''s Allocation Percentage ]]</f>
        <v>3860.3959819091201</v>
      </c>
      <c r="AL25" s="61"/>
      <c r="AM25" s="61"/>
      <c r="AN25" s="61">
        <f>$L$6*Table53[[#This Row],[Locality''s Allocation Percentage ]]</f>
        <v>6799.8647094573125</v>
      </c>
      <c r="AO25" s="61">
        <f>$L$7*Table53[[#This Row],[Locality''s Allocation Percentage ]]</f>
        <v>7871.1932281096178</v>
      </c>
      <c r="AP25" s="61">
        <f>$L$8*Table53[[#This Row],[Locality''s Allocation Percentage ]]</f>
        <v>3065.154278766146</v>
      </c>
      <c r="AQ25" s="61">
        <f>$L$9*Table53[[#This Row],[Locality''s Allocation Percentage ]]</f>
        <v>3362.9580842604687</v>
      </c>
      <c r="AR25" s="61">
        <f>$L$10*Table53[[#This Row],[Locality''s Allocation Percentage ]]</f>
        <v>3582.7346361698628</v>
      </c>
      <c r="AS25" s="61">
        <f>$L$11*Table53[[#This Row],[Locality''s Allocation Percentage ]]</f>
        <v>2696.4927747759029</v>
      </c>
      <c r="AT25" s="61">
        <f>$L$12*Table53[[#This Row],[Locality''s Allocation Percentage ]]</f>
        <v>3834.8918916378366</v>
      </c>
      <c r="AU25" s="61">
        <f>$L$13*Table53[[#This Row],[Locality''s Allocation Percentage ]]</f>
        <v>3857.9081825342159</v>
      </c>
      <c r="AV25" s="61">
        <f>$L$14*Table53[[#This Row],[Locality''s Allocation Percentage ]]</f>
        <v>3587.9288727293178</v>
      </c>
      <c r="AW25" s="61">
        <f>$L$15*Table53[[#This Row],[Locality''s Allocation Percentage ]]</f>
        <v>3318.9309952411741</v>
      </c>
      <c r="AX25" s="61">
        <f>$L$16*Table53[[#This Row],[Locality''s Allocation Percentage ]]</f>
        <v>3039.1170035997779</v>
      </c>
      <c r="AY25" s="61">
        <f>$L$17*Table53[[#This Row],[Locality''s Allocation Percentage ]]</f>
        <v>2372.7362331320737</v>
      </c>
      <c r="AZ25" s="61">
        <f>$L$18*Table53[[#This Row],[Locality''s Allocation Percentage ]]</f>
        <v>2372.7362331320737</v>
      </c>
      <c r="BA25" s="61">
        <f>$L$19*Table53[[#This Row],[Locality''s Allocation Percentage ]]</f>
        <v>2372.7362331320737</v>
      </c>
      <c r="BB25" s="61">
        <f>$L$20*Table53[[#This Row],[Locality''s Allocation Percentage ]]</f>
        <v>1961.1442979477226</v>
      </c>
      <c r="BC25" s="61">
        <f>$L$21*Table53[[#This Row],[Locality''s Allocation Percentage ]]</f>
        <v>1961.1442979477226</v>
      </c>
      <c r="BD25" s="61">
        <f>$L$22*Table53[[#This Row],[Locality''s Allocation Percentage ]]</f>
        <v>1415.4785267000107</v>
      </c>
      <c r="BE25" s="61"/>
      <c r="BF25" s="61">
        <f t="shared" si="3"/>
        <v>0</v>
      </c>
      <c r="BG25" s="61">
        <f t="shared" si="3"/>
        <v>1699.9661773643281</v>
      </c>
      <c r="BH25" s="61">
        <f t="shared" si="40"/>
        <v>1967.7983070274045</v>
      </c>
      <c r="BI25" s="61">
        <f t="shared" si="41"/>
        <v>766.28856969153651</v>
      </c>
      <c r="BJ25" s="61">
        <f t="shared" si="42"/>
        <v>840.73952106511717</v>
      </c>
      <c r="BK25" s="61">
        <f t="shared" si="43"/>
        <v>895.68365904246571</v>
      </c>
      <c r="BL25" s="61">
        <f t="shared" si="44"/>
        <v>674.12319369397574</v>
      </c>
      <c r="BM25" s="61">
        <f t="shared" si="45"/>
        <v>958.72297290945914</v>
      </c>
      <c r="BN25" s="61">
        <f t="shared" si="46"/>
        <v>964.47704563355398</v>
      </c>
      <c r="BO25" s="61">
        <f t="shared" si="47"/>
        <v>896.98221818232946</v>
      </c>
      <c r="BP25" s="61">
        <f t="shared" si="48"/>
        <v>829.73274881029351</v>
      </c>
      <c r="BQ25" s="61">
        <f t="shared" si="49"/>
        <v>759.77925089994449</v>
      </c>
      <c r="BR25" s="61">
        <f t="shared" si="50"/>
        <v>593.18405828301843</v>
      </c>
      <c r="BS25" s="61">
        <f t="shared" si="51"/>
        <v>593.18405828301843</v>
      </c>
      <c r="BT25" s="61">
        <f t="shared" si="52"/>
        <v>593.18405828301843</v>
      </c>
      <c r="BU25" s="61">
        <f t="shared" si="53"/>
        <v>490.28607448693066</v>
      </c>
      <c r="BV25" s="61">
        <f t="shared" si="54"/>
        <v>490.28607448693066</v>
      </c>
      <c r="BW25" s="61">
        <f t="shared" si="37"/>
        <v>353.86963167500267</v>
      </c>
      <c r="BX25" s="61"/>
      <c r="BY25" s="61">
        <f>($C$6+$D$6+$E$6)*Table53[[#This Row],[Locality''s Allocation Percentage ]]</f>
        <v>18791.814372712975</v>
      </c>
      <c r="BZ25" s="61">
        <f>$L$6*Table53[[#This Row],[Locality''s Allocation Percentage ]]</f>
        <v>6799.8647094573125</v>
      </c>
      <c r="CA25" s="61">
        <f t="shared" si="4"/>
        <v>1699.9661773643281</v>
      </c>
      <c r="CB25" s="76">
        <f>($C$7+$D$7+$E$7)*Table53[[#This Row],[Locality''s Allocation Percentage ]]</f>
        <v>6777.0590117342326</v>
      </c>
      <c r="CC25" s="76">
        <f>$L$7*Table53[[#This Row],[Locality''s Allocation Percentage ]]</f>
        <v>7871.1932281096178</v>
      </c>
      <c r="CD25" s="76">
        <f t="shared" si="5"/>
        <v>1967.7983070274045</v>
      </c>
    </row>
    <row r="26" spans="2:82" s="19" customFormat="1" ht="18" customHeight="1" x14ac:dyDescent="0.25">
      <c r="B26" s="248"/>
      <c r="C26" s="249"/>
      <c r="D26" s="249"/>
      <c r="E26" s="249"/>
      <c r="F26" s="249"/>
      <c r="G26" s="249"/>
      <c r="H26" s="249"/>
      <c r="I26" s="249"/>
      <c r="J26" s="249"/>
      <c r="K26" s="249"/>
      <c r="L26" s="249"/>
      <c r="M26" s="250"/>
      <c r="P26" s="36" t="s">
        <v>236</v>
      </c>
      <c r="Q26" s="37">
        <v>1.3800138001379999E-3</v>
      </c>
      <c r="S26" s="22" t="s">
        <v>92</v>
      </c>
      <c r="T26" s="61">
        <f>($C$5+$D$5+$E$5+$F$5+$G$5+$H$5+$I$5+$J$5+$K$5)*Table53[[#This Row],[Locality''s Allocation Percentage ]]</f>
        <v>5611.562790313058</v>
      </c>
      <c r="U26" s="61">
        <f>($C$6+$D$6+$E$6+$F$6+$G$6+$H$6+$I$6+$J$6+$K$6)*Table53[[#This Row],[Locality''s Allocation Percentage ]]</f>
        <v>35524.251827868356</v>
      </c>
      <c r="V26" s="61">
        <f>($C$7+$D$7+$E$7+$F$7+$G$7+$H$7+$I$7+$J$7+$K$7)*Table53[[#This Row],[Locality''s Allocation Percentage ]]</f>
        <v>43810.492443414936</v>
      </c>
      <c r="W26" s="61">
        <f>($C$8+$D$8+$E$8+$F$8+$G$8+$H$8+$I$8+$J$8+$K$8)*Table53[[#This Row],[Locality''s Allocation Percentage ]]</f>
        <v>16801.226864333054</v>
      </c>
      <c r="X26" s="61">
        <f>($C$9+$D$9+$E$9+$F$9+$G$9+$H$9+$I$9+$J$9+$K$9)*Table53[[#This Row],[Locality''s Allocation Percentage ]]</f>
        <v>18054.004021564735</v>
      </c>
      <c r="Y26" s="61">
        <f>($C$10+$D$10+$E$10+$F$10+$G$10+$H$10+$I$10+$J$10+$K$10)*Table53[[#This Row],[Locality''s Allocation Percentage ]]</f>
        <v>19187.098573127489</v>
      </c>
      <c r="Z26" s="61">
        <f>($C$11+$D$11+$E$11+$F$11+$G$11+$H$11+$I$11+$J$11+$K$11)*Table53[[#This Row],[Locality''s Allocation Percentage ]]</f>
        <v>14617.931317621895</v>
      </c>
      <c r="AA26" s="61">
        <f>($C$12+$D$12+$E$12+$F$12+$G$12+$H$12+$I$12+$J$12+$K$12)*Table53[[#This Row],[Locality''s Allocation Percentage ]]</f>
        <v>20487.137225228875</v>
      </c>
      <c r="AB26" s="61">
        <f>($C$13+$D$13+$E$13+$F$13+$G$13+$H$13+$I$13+$J$13+$K$13)*Table53[[#This Row],[Locality''s Allocation Percentage ]]</f>
        <v>20580.352378264102</v>
      </c>
      <c r="AC26" s="61">
        <f>($C$14+$D$14+$E$14+$F$14+$G$14+$H$14+$I$14+$J$14+$K$14)*Table53[[#This Row],[Locality''s Allocation Percentage ]]</f>
        <v>19269.238228093265</v>
      </c>
      <c r="AD26" s="61">
        <f>($C$15+$D$15+$E$15+$F$15+$G$15+$H$15+$I$15+$J$15+$K$15)*Table53[[#This Row],[Locality''s Allocation Percentage ]]</f>
        <v>17881.971058992003</v>
      </c>
      <c r="AE26" s="61">
        <f>($C$16+$D$16+$E$16+$F$16+$G$16+$H$16+$I$16+$J$16+$K$16)*Table53[[#This Row],[Locality''s Allocation Percentage ]]</f>
        <v>16439.343505573102</v>
      </c>
      <c r="AF26" s="61">
        <f>($C$17+$D$17+$E$17+$F$17+$G$17+$H$17+$I$17+$J$17+$K$17)*Table53[[#This Row],[Locality''s Allocation Percentage ]]</f>
        <v>12545.62174338821</v>
      </c>
      <c r="AG26" s="61">
        <f>($C$18+$D$18+$E$18+$F$18+$G$18+$H$18+$I$18+$J$18+$K$18)*Table53[[#This Row],[Locality''s Allocation Percentage ]]</f>
        <v>12545.62174338821</v>
      </c>
      <c r="AH26" s="61">
        <f>($C$19+$D$19+$E$19+$F$19+$G$19+$H$19+$I$19+$J$19+$K$19)*Table53[[#This Row],[Locality''s Allocation Percentage ]]</f>
        <v>12545.62174338821</v>
      </c>
      <c r="AI26" s="61">
        <f>($C$20+$D$20+$E$20+$F$20+$G$20+$H$20+$I$20+$J$20+$K$20)*Table53[[#This Row],[Locality''s Allocation Percentage ]]</f>
        <v>10423.591093745352</v>
      </c>
      <c r="AJ26" s="61">
        <f>($C$21+$D$21+$E$21+$F$21+$G$21+$H$21+$I$21+$J$21+$K$21)*Table53[[#This Row],[Locality''s Allocation Percentage ]]</f>
        <v>10423.591093745352</v>
      </c>
      <c r="AK26" s="61">
        <f>($C$22+$D$22+$E$22+$F$22+$G$22+$H$22+$I$22+$J$22+$K$22)*Table53[[#This Row],[Locality''s Allocation Percentage ]]</f>
        <v>7297.7348699103904</v>
      </c>
      <c r="AL26" s="61"/>
      <c r="AM26" s="61"/>
      <c r="AN26" s="61">
        <f>$L$6*Table53[[#This Row],[Locality''s Allocation Percentage ]]</f>
        <v>12854.53876582341</v>
      </c>
      <c r="AO26" s="61">
        <f>$L$7*Table53[[#This Row],[Locality''s Allocation Percentage ]]</f>
        <v>14879.789938070235</v>
      </c>
      <c r="AP26" s="61">
        <f>$L$8*Table53[[#This Row],[Locality''s Allocation Percentage ]]</f>
        <v>5794.4012393113444</v>
      </c>
      <c r="AQ26" s="61">
        <f>$L$9*Table53[[#This Row],[Locality''s Allocation Percentage ]]</f>
        <v>6357.3728168211592</v>
      </c>
      <c r="AR26" s="61">
        <f>$L$10*Table53[[#This Row],[Locality''s Allocation Percentage ]]</f>
        <v>6772.8408190608361</v>
      </c>
      <c r="AS26" s="61">
        <f>$L$11*Table53[[#This Row],[Locality''s Allocation Percentage ]]</f>
        <v>5097.4794920421173</v>
      </c>
      <c r="AT26" s="61">
        <f>$L$12*Table53[[#This Row],[Locality''s Allocation Percentage ]]</f>
        <v>7249.5216581646773</v>
      </c>
      <c r="AU26" s="61">
        <f>$L$13*Table53[[#This Row],[Locality''s Allocation Percentage ]]</f>
        <v>7293.0319067085175</v>
      </c>
      <c r="AV26" s="61">
        <f>$L$14*Table53[[#This Row],[Locality''s Allocation Percentage ]]</f>
        <v>6782.6600607759692</v>
      </c>
      <c r="AW26" s="61">
        <f>$L$15*Table53[[#This Row],[Locality''s Allocation Percentage ]]</f>
        <v>6274.143525250438</v>
      </c>
      <c r="AX26" s="61">
        <f>$L$16*Table53[[#This Row],[Locality''s Allocation Percentage ]]</f>
        <v>5745.1800889968399</v>
      </c>
      <c r="AY26" s="61">
        <f>$L$17*Table53[[#This Row],[Locality''s Allocation Percentage ]]</f>
        <v>4485.4465777017285</v>
      </c>
      <c r="AZ26" s="61">
        <f>$L$18*Table53[[#This Row],[Locality''s Allocation Percentage ]]</f>
        <v>4485.4465777017285</v>
      </c>
      <c r="BA26" s="61">
        <f>$L$19*Table53[[#This Row],[Locality''s Allocation Percentage ]]</f>
        <v>4485.4465777017285</v>
      </c>
      <c r="BB26" s="61">
        <f>$L$20*Table53[[#This Row],[Locality''s Allocation Percentage ]]</f>
        <v>3707.3686728326807</v>
      </c>
      <c r="BC26" s="61">
        <f>$L$21*Table53[[#This Row],[Locality''s Allocation Percentage ]]</f>
        <v>3707.3686728326807</v>
      </c>
      <c r="BD26" s="61">
        <f>$L$22*Table53[[#This Row],[Locality''s Allocation Percentage ]]</f>
        <v>2675.8361189671432</v>
      </c>
      <c r="BE26" s="61"/>
      <c r="BF26" s="61">
        <f t="shared" si="3"/>
        <v>0</v>
      </c>
      <c r="BG26" s="61">
        <f t="shared" si="3"/>
        <v>3213.6346914558526</v>
      </c>
      <c r="BH26" s="61">
        <f t="shared" si="40"/>
        <v>3719.9474845175587</v>
      </c>
      <c r="BI26" s="61">
        <f t="shared" si="41"/>
        <v>1448.6003098278361</v>
      </c>
      <c r="BJ26" s="61">
        <f t="shared" si="42"/>
        <v>1589.3432042052898</v>
      </c>
      <c r="BK26" s="61">
        <f t="shared" si="43"/>
        <v>1693.210204765209</v>
      </c>
      <c r="BL26" s="61">
        <f t="shared" si="44"/>
        <v>1274.3698730105293</v>
      </c>
      <c r="BM26" s="61">
        <f t="shared" si="45"/>
        <v>1812.3804145411693</v>
      </c>
      <c r="BN26" s="61">
        <f t="shared" si="46"/>
        <v>1823.2579766771294</v>
      </c>
      <c r="BO26" s="61">
        <f t="shared" si="47"/>
        <v>1695.6650151939923</v>
      </c>
      <c r="BP26" s="61">
        <f t="shared" si="48"/>
        <v>1568.5358813126095</v>
      </c>
      <c r="BQ26" s="61">
        <f t="shared" si="49"/>
        <v>1436.29502224921</v>
      </c>
      <c r="BR26" s="61">
        <f t="shared" si="50"/>
        <v>1121.3616444254321</v>
      </c>
      <c r="BS26" s="61">
        <f t="shared" si="51"/>
        <v>1121.3616444254321</v>
      </c>
      <c r="BT26" s="61">
        <f t="shared" si="52"/>
        <v>1121.3616444254321</v>
      </c>
      <c r="BU26" s="61">
        <f t="shared" si="53"/>
        <v>926.84216820817016</v>
      </c>
      <c r="BV26" s="61">
        <f t="shared" si="54"/>
        <v>926.84216820817016</v>
      </c>
      <c r="BW26" s="61">
        <f t="shared" si="37"/>
        <v>668.9590297417858</v>
      </c>
      <c r="BX26" s="61"/>
      <c r="BY26" s="61">
        <f>($C$6+$D$6+$E$6)*Table53[[#This Row],[Locality''s Allocation Percentage ]]</f>
        <v>35524.251827868356</v>
      </c>
      <c r="BZ26" s="61">
        <f>$L$6*Table53[[#This Row],[Locality''s Allocation Percentage ]]</f>
        <v>12854.53876582341</v>
      </c>
      <c r="CA26" s="61">
        <f t="shared" si="4"/>
        <v>3213.6346914558526</v>
      </c>
      <c r="CB26" s="76">
        <f>($C$7+$D$7+$E$7)*Table53[[#This Row],[Locality''s Allocation Percentage ]]</f>
        <v>12811.426624922247</v>
      </c>
      <c r="CC26" s="76">
        <f>$L$7*Table53[[#This Row],[Locality''s Allocation Percentage ]]</f>
        <v>14879.789938070235</v>
      </c>
      <c r="CD26" s="76">
        <f t="shared" si="5"/>
        <v>3719.9474845175587</v>
      </c>
    </row>
    <row r="27" spans="2:82" s="19" customFormat="1" ht="18" customHeight="1" x14ac:dyDescent="0.25">
      <c r="B27" s="248"/>
      <c r="C27" s="249"/>
      <c r="D27" s="249"/>
      <c r="E27" s="249"/>
      <c r="F27" s="249"/>
      <c r="G27" s="249"/>
      <c r="H27" s="249"/>
      <c r="I27" s="249"/>
      <c r="J27" s="249"/>
      <c r="K27" s="249"/>
      <c r="L27" s="249"/>
      <c r="M27" s="250"/>
      <c r="N27" s="19">
        <v>2265090.56</v>
      </c>
      <c r="P27" s="36" t="s">
        <v>93</v>
      </c>
      <c r="Q27" s="37">
        <v>4.6300463004629996E-3</v>
      </c>
      <c r="S27" s="22" t="s">
        <v>93</v>
      </c>
      <c r="T27" s="61">
        <f>($C$5+$D$5+$E$5+$F$5+$G$5+$H$5+$I$5+$J$5+$K$5)*Table53[[#This Row],[Locality''s Allocation Percentage ]]</f>
        <v>18827.199796485114</v>
      </c>
      <c r="U27" s="61">
        <f>($C$6+$D$6+$E$6+$F$6+$G$6+$H$6+$I$6+$J$6+$K$6)*Table53[[#This Row],[Locality''s Allocation Percentage ]]</f>
        <v>119186.43910364529</v>
      </c>
      <c r="V27" s="61">
        <f>($C$7+$D$7+$E$7+$F$7+$G$7+$H$7+$I$7+$J$7+$K$7)*Table53[[#This Row],[Locality''s Allocation Percentage ]]</f>
        <v>146987.37682102257</v>
      </c>
      <c r="W27" s="61">
        <f>($C$8+$D$8+$E$8+$F$8+$G$8+$H$8+$I$8+$J$8+$K$8)*Table53[[#This Row],[Locality''s Allocation Percentage ]]</f>
        <v>56369.333610044952</v>
      </c>
      <c r="X27" s="61">
        <f>($C$9+$D$9+$E$9+$F$9+$G$9+$H$9+$I$9+$J$9+$K$9)*Table53[[#This Row],[Locality''s Allocation Percentage ]]</f>
        <v>60572.491753510665</v>
      </c>
      <c r="Y27" s="61">
        <f>($C$10+$D$10+$E$10+$F$10+$G$10+$H$10+$I$10+$J$10+$K$10)*Table53[[#This Row],[Locality''s Allocation Percentage ]]</f>
        <v>64374.106082304548</v>
      </c>
      <c r="Z27" s="61">
        <f>($C$11+$D$11+$E$11+$F$11+$G$11+$H$11+$I$11+$J$11+$K$11)*Table53[[#This Row],[Locality''s Allocation Percentage ]]</f>
        <v>49044.21884100679</v>
      </c>
      <c r="AA27" s="61">
        <f>($C$12+$D$12+$E$12+$F$12+$G$12+$H$12+$I$12+$J$12+$K$12)*Table53[[#This Row],[Locality''s Allocation Percentage ]]</f>
        <v>68735.829965804121</v>
      </c>
      <c r="AB27" s="61">
        <f>($C$13+$D$13+$E$13+$F$13+$G$13+$H$13+$I$13+$J$13+$K$13)*Table53[[#This Row],[Locality''s Allocation Percentage ]]</f>
        <v>69048.573558958538</v>
      </c>
      <c r="AC27" s="61">
        <f>($C$14+$D$14+$E$14+$F$14+$G$14+$H$14+$I$14+$J$14+$K$14)*Table53[[#This Row],[Locality''s Allocation Percentage ]]</f>
        <v>64649.690576863635</v>
      </c>
      <c r="AD27" s="61">
        <f>($C$15+$D$15+$E$15+$F$15+$G$15+$H$15+$I$15+$J$15+$K$15)*Table53[[#This Row],[Locality''s Allocation Percentage ]]</f>
        <v>59995.308697922446</v>
      </c>
      <c r="AE27" s="61">
        <f>($C$16+$D$16+$E$16+$F$16+$G$16+$H$16+$I$16+$J$16+$K$16)*Table53[[#This Row],[Locality''s Allocation Percentage ]]</f>
        <v>55155.18871797352</v>
      </c>
      <c r="AF27" s="61">
        <f>($C$17+$D$17+$E$17+$F$17+$G$17+$H$17+$I$17+$J$17+$K$17)*Table53[[#This Row],[Locality''s Allocation Percentage ]]</f>
        <v>42091.470052092322</v>
      </c>
      <c r="AG27" s="61">
        <f>($C$18+$D$18+$E$18+$F$18+$G$18+$H$18+$I$18+$J$18+$K$18)*Table53[[#This Row],[Locality''s Allocation Percentage ]]</f>
        <v>42091.470052092322</v>
      </c>
      <c r="AH27" s="61">
        <f>($C$19+$D$19+$E$19+$F$19+$G$19+$H$19+$I$19+$J$19+$K$19)*Table53[[#This Row],[Locality''s Allocation Percentage ]]</f>
        <v>42091.470052092322</v>
      </c>
      <c r="AI27" s="61">
        <f>($C$20+$D$20+$E$20+$F$20+$G$20+$H$20+$I$20+$J$20+$K$20)*Table53[[#This Row],[Locality''s Allocation Percentage ]]</f>
        <v>34971.903452203609</v>
      </c>
      <c r="AJ27" s="61">
        <f>($C$21+$D$21+$E$21+$F$21+$G$21+$H$21+$I$21+$J$21+$K$21)*Table53[[#This Row],[Locality''s Allocation Percentage ]]</f>
        <v>34971.903452203609</v>
      </c>
      <c r="AK27" s="61">
        <f>($C$22+$D$22+$E$22+$F$22+$G$22+$H$22+$I$22+$J$22+$K$22)*Table53[[#This Row],[Locality''s Allocation Percentage ]]</f>
        <v>24484.429309916744</v>
      </c>
      <c r="AL27" s="61"/>
      <c r="AM27" s="61"/>
      <c r="AN27" s="61">
        <f>$L$6*Table53[[#This Row],[Locality''s Allocation Percentage ]]</f>
        <v>43127.909047653906</v>
      </c>
      <c r="AO27" s="61">
        <f>$L$7*Table53[[#This Row],[Locality''s Allocation Percentage ]]</f>
        <v>49922.773487873324</v>
      </c>
      <c r="AP27" s="61">
        <f>$L$8*Table53[[#This Row],[Locality''s Allocation Percentage ]]</f>
        <v>19440.636042037335</v>
      </c>
      <c r="AQ27" s="61">
        <f>$L$9*Table53[[#This Row],[Locality''s Allocation Percentage ]]</f>
        <v>21329.446479624614</v>
      </c>
      <c r="AR27" s="61">
        <f>$L$10*Table53[[#This Row],[Locality''s Allocation Percentage ]]</f>
        <v>22723.371733515702</v>
      </c>
      <c r="AS27" s="61">
        <f>$L$11*Table53[[#This Row],[Locality''s Allocation Percentage ]]</f>
        <v>17102.413078373189</v>
      </c>
      <c r="AT27" s="61">
        <f>$L$12*Table53[[#This Row],[Locality''s Allocation Percentage ]]</f>
        <v>24322.670490798879</v>
      </c>
      <c r="AU27" s="61">
        <f>$L$13*Table53[[#This Row],[Locality''s Allocation Percentage ]]</f>
        <v>24468.650527580023</v>
      </c>
      <c r="AV27" s="61">
        <f>$L$14*Table53[[#This Row],[Locality''s Allocation Percentage ]]</f>
        <v>22756.316001009229</v>
      </c>
      <c r="AW27" s="61">
        <f>$L$15*Table53[[#This Row],[Locality''s Allocation Percentage ]]</f>
        <v>21050.20617529676</v>
      </c>
      <c r="AX27" s="61">
        <f>$L$16*Table53[[#This Row],[Locality''s Allocation Percentage ]]</f>
        <v>19275.495515982151</v>
      </c>
      <c r="AY27" s="61">
        <f>$L$17*Table53[[#This Row],[Locality''s Allocation Percentage ]]</f>
        <v>15048.998300550002</v>
      </c>
      <c r="AZ27" s="61">
        <f>$L$18*Table53[[#This Row],[Locality''s Allocation Percentage ]]</f>
        <v>15048.998300550002</v>
      </c>
      <c r="BA27" s="61">
        <f>$L$19*Table53[[#This Row],[Locality''s Allocation Percentage ]]</f>
        <v>15048.998300550002</v>
      </c>
      <c r="BB27" s="61">
        <f>$L$20*Table53[[#This Row],[Locality''s Allocation Percentage ]]</f>
        <v>12438.490547257472</v>
      </c>
      <c r="BC27" s="61">
        <f>$L$21*Table53[[#This Row],[Locality''s Allocation Percentage ]]</f>
        <v>12438.490547257472</v>
      </c>
      <c r="BD27" s="61">
        <f>$L$22*Table53[[#This Row],[Locality''s Allocation Percentage ]]</f>
        <v>8977.6240803028049</v>
      </c>
      <c r="BE27" s="61"/>
      <c r="BF27" s="61">
        <f t="shared" si="3"/>
        <v>0</v>
      </c>
      <c r="BG27" s="61">
        <f t="shared" si="3"/>
        <v>10781.977261913476</v>
      </c>
      <c r="BH27" s="61">
        <f t="shared" si="40"/>
        <v>12480.693371968331</v>
      </c>
      <c r="BI27" s="61">
        <f t="shared" si="41"/>
        <v>4860.1590105093337</v>
      </c>
      <c r="BJ27" s="61">
        <f t="shared" si="42"/>
        <v>5332.3616199061535</v>
      </c>
      <c r="BK27" s="61">
        <f t="shared" si="43"/>
        <v>5680.8429333789254</v>
      </c>
      <c r="BL27" s="61">
        <f t="shared" si="44"/>
        <v>4275.6032695932972</v>
      </c>
      <c r="BM27" s="61">
        <f t="shared" si="45"/>
        <v>6080.6676226997197</v>
      </c>
      <c r="BN27" s="61">
        <f t="shared" si="46"/>
        <v>6117.1626318950057</v>
      </c>
      <c r="BO27" s="61">
        <f t="shared" si="47"/>
        <v>5689.0790002523072</v>
      </c>
      <c r="BP27" s="61">
        <f t="shared" si="48"/>
        <v>5262.55154382419</v>
      </c>
      <c r="BQ27" s="61">
        <f t="shared" si="49"/>
        <v>4818.8738789955378</v>
      </c>
      <c r="BR27" s="61">
        <f t="shared" si="50"/>
        <v>3762.2495751375004</v>
      </c>
      <c r="BS27" s="61">
        <f t="shared" si="51"/>
        <v>3762.2495751375004</v>
      </c>
      <c r="BT27" s="61">
        <f t="shared" si="52"/>
        <v>3762.2495751375004</v>
      </c>
      <c r="BU27" s="61">
        <f t="shared" si="53"/>
        <v>3109.622636814368</v>
      </c>
      <c r="BV27" s="61">
        <f t="shared" si="54"/>
        <v>3109.622636814368</v>
      </c>
      <c r="BW27" s="61">
        <f t="shared" si="37"/>
        <v>2244.4060200757012</v>
      </c>
      <c r="BX27" s="61"/>
      <c r="BY27" s="61">
        <f>($C$6+$D$6+$E$6)*Table53[[#This Row],[Locality''s Allocation Percentage ]]</f>
        <v>119186.43910364529</v>
      </c>
      <c r="BZ27" s="61">
        <f>$L$6*Table53[[#This Row],[Locality''s Allocation Percentage ]]</f>
        <v>43127.909047653906</v>
      </c>
      <c r="CA27" s="61">
        <f t="shared" si="4"/>
        <v>10781.977261913476</v>
      </c>
      <c r="CB27" s="76">
        <f>($C$7+$D$7+$E$7)*Table53[[#This Row],[Locality''s Allocation Percentage ]]</f>
        <v>42983.264690862321</v>
      </c>
      <c r="CC27" s="76">
        <f>$L$7*Table53[[#This Row],[Locality''s Allocation Percentage ]]</f>
        <v>49922.773487873324</v>
      </c>
      <c r="CD27" s="76">
        <f t="shared" si="5"/>
        <v>12480.693371968331</v>
      </c>
    </row>
    <row r="28" spans="2:82" s="19" customFormat="1" ht="18" customHeight="1" thickBot="1" x14ac:dyDescent="0.3">
      <c r="B28" s="251"/>
      <c r="C28" s="252"/>
      <c r="D28" s="252"/>
      <c r="E28" s="252"/>
      <c r="F28" s="252"/>
      <c r="G28" s="252"/>
      <c r="H28" s="252"/>
      <c r="I28" s="252"/>
      <c r="J28" s="252"/>
      <c r="K28" s="252"/>
      <c r="L28" s="252"/>
      <c r="M28" s="253"/>
      <c r="N28" s="19">
        <f>N27*Q4</f>
        <v>7882.5939747397397</v>
      </c>
      <c r="P28" s="36" t="s">
        <v>94</v>
      </c>
      <c r="Q28" s="37">
        <v>2.9120291202911999E-2</v>
      </c>
      <c r="S28" s="22" t="s">
        <v>94</v>
      </c>
      <c r="T28" s="61">
        <f>($C$5+$D$5+$E$5+$F$5+$G$5+$H$5+$I$5+$J$5+$K$5)*Table53[[#This Row],[Locality''s Allocation Percentage ]]</f>
        <v>118412.10757530163</v>
      </c>
      <c r="U28" s="61">
        <f>($C$6+$D$6+$E$6+$F$6+$G$6+$H$6+$I$6+$J$6+$K$6)*Table53[[#This Row],[Locality''s Allocation Percentage ]]</f>
        <v>749613.19799096126</v>
      </c>
      <c r="V28" s="61">
        <f>($C$7+$D$7+$E$7+$F$7+$G$7+$H$7+$I$7+$J$7+$K$7)*Table53[[#This Row],[Locality''s Allocation Percentage ]]</f>
        <v>924464.88402336452</v>
      </c>
      <c r="W28" s="61">
        <f>($C$8+$D$8+$E$8+$F$8+$G$8+$H$8+$I$8+$J$8+$K$8)*Table53[[#This Row],[Locality''s Allocation Percentage ]]</f>
        <v>354530.2364415786</v>
      </c>
      <c r="X28" s="61">
        <f>($C$9+$D$9+$E$9+$F$9+$G$9+$H$9+$I$9+$J$9+$K$9)*Table53[[#This Row],[Locality''s Allocation Percentage ]]</f>
        <v>380965.6500782356</v>
      </c>
      <c r="Y28" s="61">
        <f>($C$10+$D$10+$E$10+$F$10+$G$10+$H$10+$I$10+$J$10+$K$10)*Table53[[#This Row],[Locality''s Allocation Percentage ]]</f>
        <v>404875.58728222648</v>
      </c>
      <c r="Z28" s="61">
        <f>($C$11+$D$11+$E$11+$F$11+$G$11+$H$11+$I$11+$J$11+$K$11)*Table53[[#This Row],[Locality''s Allocation Percentage ]]</f>
        <v>308459.53620952868</v>
      </c>
      <c r="AA28" s="61">
        <f>($C$12+$D$12+$E$12+$F$12+$G$12+$H$12+$I$12+$J$12+$K$12)*Table53[[#This Row],[Locality''s Allocation Percentage ]]</f>
        <v>432308.28695555421</v>
      </c>
      <c r="AB28" s="61">
        <f>($C$13+$D$13+$E$13+$F$13+$G$13+$H$13+$I$13+$J$13+$K$13)*Table53[[#This Row],[Locality''s Allocation Percentage ]]</f>
        <v>434275.26177902217</v>
      </c>
      <c r="AC28" s="61">
        <f>($C$14+$D$14+$E$14+$F$14+$G$14+$H$14+$I$14+$J$14+$K$14)*Table53[[#This Row],[Locality''s Allocation Percentage ]]</f>
        <v>406608.85304498253</v>
      </c>
      <c r="AD28" s="61">
        <f>($C$15+$D$15+$E$15+$F$15+$G$15+$H$15+$I$15+$J$15+$K$15)*Table53[[#This Row],[Locality''s Allocation Percentage ]]</f>
        <v>377335.50524481677</v>
      </c>
      <c r="AE28" s="61">
        <f>($C$16+$D$16+$E$16+$F$16+$G$16+$H$16+$I$16+$J$16+$K$16)*Table53[[#This Row],[Locality''s Allocation Percentage ]]</f>
        <v>346893.97310310777</v>
      </c>
      <c r="AF28" s="61">
        <f>($C$17+$D$17+$E$17+$F$17+$G$17+$H$17+$I$17+$J$17+$K$17)*Table53[[#This Row],[Locality''s Allocation Percentage ]]</f>
        <v>264730.80084598891</v>
      </c>
      <c r="AG28" s="61">
        <f>($C$18+$D$18+$E$18+$F$18+$G$18+$H$18+$I$18+$J$18+$K$18)*Table53[[#This Row],[Locality''s Allocation Percentage ]]</f>
        <v>264730.80084598891</v>
      </c>
      <c r="AH28" s="61">
        <f>($C$19+$D$19+$E$19+$F$19+$G$19+$H$19+$I$19+$J$19+$K$19)*Table53[[#This Row],[Locality''s Allocation Percentage ]]</f>
        <v>264730.80084598891</v>
      </c>
      <c r="AI28" s="61">
        <f>($C$20+$D$20+$E$20+$F$20+$G$20+$H$20+$I$20+$J$20+$K$20)*Table53[[#This Row],[Locality''s Allocation Percentage ]]</f>
        <v>219952.87873178598</v>
      </c>
      <c r="AJ28" s="61">
        <f>($C$21+$D$21+$E$21+$F$21+$G$21+$H$21+$I$21+$J$21+$K$21)*Table53[[#This Row],[Locality''s Allocation Percentage ]]</f>
        <v>219952.87873178598</v>
      </c>
      <c r="AK28" s="61">
        <f>($C$22+$D$22+$E$22+$F$22+$G$22+$H$22+$I$22+$J$22+$K$22)*Table53[[#This Row],[Locality''s Allocation Percentage ]]</f>
        <v>153992.78218245693</v>
      </c>
      <c r="AL28" s="61"/>
      <c r="AM28" s="61"/>
      <c r="AN28" s="61">
        <f>$L$6*Table53[[#This Row],[Locality''s Allocation Percentage ]]</f>
        <v>271249.39772520127</v>
      </c>
      <c r="AO28" s="61">
        <f>$L$7*Table53[[#This Row],[Locality''s Allocation Percentage ]]</f>
        <v>313985.13260623568</v>
      </c>
      <c r="AP28" s="61">
        <f>$L$8*Table53[[#This Row],[Locality''s Allocation Percentage ]]</f>
        <v>122270.26383242488</v>
      </c>
      <c r="AQ28" s="61">
        <f>$L$9*Table53[[#This Row],[Locality''s Allocation Percentage ]]</f>
        <v>134149.78001871897</v>
      </c>
      <c r="AR28" s="61">
        <f>$L$10*Table53[[#This Row],[Locality''s Allocation Percentage ]]</f>
        <v>142916.75699351562</v>
      </c>
      <c r="AS28" s="61">
        <f>$L$11*Table53[[#This Row],[Locality''s Allocation Percentage ]]</f>
        <v>107564.20493352642</v>
      </c>
      <c r="AT28" s="61">
        <f>$L$12*Table53[[#This Row],[Locality''s Allocation Percentage ]]</f>
        <v>152975.41354040246</v>
      </c>
      <c r="AU28" s="61">
        <f>$L$13*Table53[[#This Row],[Locality''s Allocation Percentage ]]</f>
        <v>153893.5428430087</v>
      </c>
      <c r="AV28" s="61">
        <f>$L$14*Table53[[#This Row],[Locality''s Allocation Percentage ]]</f>
        <v>143123.95722449003</v>
      </c>
      <c r="AW28" s="61">
        <f>$L$15*Table53[[#This Row],[Locality''s Allocation Percentage ]]</f>
        <v>132393.52134441503</v>
      </c>
      <c r="AX28" s="61">
        <f>$L$16*Table53[[#This Row],[Locality''s Allocation Percentage ]]</f>
        <v>121231.62622578839</v>
      </c>
      <c r="AY28" s="61">
        <f>$L$17*Table53[[#This Row],[Locality''s Allocation Percentage ]]</f>
        <v>94649.423436720535</v>
      </c>
      <c r="AZ28" s="61">
        <f>$L$18*Table53[[#This Row],[Locality''s Allocation Percentage ]]</f>
        <v>94649.423436720535</v>
      </c>
      <c r="BA28" s="61">
        <f>$L$19*Table53[[#This Row],[Locality''s Allocation Percentage ]]</f>
        <v>94649.423436720535</v>
      </c>
      <c r="BB28" s="61">
        <f>$L$20*Table53[[#This Row],[Locality''s Allocation Percentage ]]</f>
        <v>78230.851994846133</v>
      </c>
      <c r="BC28" s="61">
        <f>$L$21*Table53[[#This Row],[Locality''s Allocation Percentage ]]</f>
        <v>78230.851994846133</v>
      </c>
      <c r="BD28" s="61">
        <f>$L$22*Table53[[#This Row],[Locality''s Allocation Percentage ]]</f>
        <v>56464.020133567537</v>
      </c>
      <c r="BE28" s="61"/>
      <c r="BF28" s="61">
        <f t="shared" si="3"/>
        <v>0</v>
      </c>
      <c r="BG28" s="61">
        <f t="shared" si="3"/>
        <v>67812.349431300318</v>
      </c>
      <c r="BH28" s="61">
        <f t="shared" si="40"/>
        <v>78496.283151558921</v>
      </c>
      <c r="BI28" s="61">
        <f t="shared" si="41"/>
        <v>30567.565958106221</v>
      </c>
      <c r="BJ28" s="61">
        <f t="shared" si="42"/>
        <v>33537.445004679743</v>
      </c>
      <c r="BK28" s="61">
        <f t="shared" si="43"/>
        <v>35729.189248378905</v>
      </c>
      <c r="BL28" s="61">
        <f t="shared" si="44"/>
        <v>26891.051233381604</v>
      </c>
      <c r="BM28" s="61">
        <f t="shared" si="45"/>
        <v>38243.853385100614</v>
      </c>
      <c r="BN28" s="61">
        <f t="shared" si="46"/>
        <v>38473.385710752176</v>
      </c>
      <c r="BO28" s="61">
        <f t="shared" si="47"/>
        <v>35780.989306122508</v>
      </c>
      <c r="BP28" s="61">
        <f t="shared" si="48"/>
        <v>33098.380336103757</v>
      </c>
      <c r="BQ28" s="61">
        <f t="shared" si="49"/>
        <v>30307.906556447098</v>
      </c>
      <c r="BR28" s="61">
        <f t="shared" si="50"/>
        <v>23662.355859180134</v>
      </c>
      <c r="BS28" s="61">
        <f t="shared" si="51"/>
        <v>23662.355859180134</v>
      </c>
      <c r="BT28" s="61">
        <f t="shared" si="52"/>
        <v>23662.355859180134</v>
      </c>
      <c r="BU28" s="61">
        <f t="shared" si="53"/>
        <v>19557.712998711533</v>
      </c>
      <c r="BV28" s="61">
        <f t="shared" si="54"/>
        <v>19557.712998711533</v>
      </c>
      <c r="BW28" s="61">
        <f t="shared" si="37"/>
        <v>14116.005033391884</v>
      </c>
      <c r="BX28" s="61"/>
      <c r="BY28" s="61">
        <f>($C$6+$D$6+$E$6)*Table53[[#This Row],[Locality''s Allocation Percentage ]]</f>
        <v>749613.19799096126</v>
      </c>
      <c r="BZ28" s="61">
        <f>$L$6*Table53[[#This Row],[Locality''s Allocation Percentage ]]</f>
        <v>271249.39772520127</v>
      </c>
      <c r="CA28" s="61">
        <f t="shared" si="4"/>
        <v>67812.349431300318</v>
      </c>
      <c r="CB28" s="76">
        <f>($C$7+$D$7+$E$7)*Table53[[#This Row],[Locality''s Allocation Percentage ]]</f>
        <v>270339.66907082306</v>
      </c>
      <c r="CC28" s="76">
        <f>$L$7*Table53[[#This Row],[Locality''s Allocation Percentage ]]</f>
        <v>313985.13260623568</v>
      </c>
      <c r="CD28" s="76">
        <f t="shared" si="5"/>
        <v>78496.283151558921</v>
      </c>
    </row>
    <row r="29" spans="2:82" s="19" customFormat="1" ht="18" customHeight="1" x14ac:dyDescent="0.25">
      <c r="B29" s="19" t="s">
        <v>324</v>
      </c>
      <c r="C29" s="53">
        <v>94230233.810000002</v>
      </c>
      <c r="D29" s="53">
        <v>21878581.120000001</v>
      </c>
      <c r="E29" s="53">
        <v>2277834.9700000002</v>
      </c>
      <c r="F29" s="53">
        <v>19864168.789999999</v>
      </c>
      <c r="G29" s="53">
        <v>10942088.09</v>
      </c>
      <c r="H29" s="53">
        <v>13759218.130000001</v>
      </c>
      <c r="I29" s="53">
        <v>27537006.84</v>
      </c>
      <c r="J29" s="53">
        <v>29356481.59</v>
      </c>
      <c r="K29" s="53"/>
      <c r="L29" s="53"/>
      <c r="M29" s="53"/>
      <c r="P29" s="36" t="s">
        <v>237</v>
      </c>
      <c r="Q29" s="37">
        <v>4.0880408804087998E-2</v>
      </c>
      <c r="S29" s="22" t="s">
        <v>95</v>
      </c>
      <c r="T29" s="61">
        <f>($C$5+$D$5+$E$5+$F$5+$G$5+$H$5+$I$5+$J$5+$K$5)*Table53[[#This Row],[Locality''s Allocation Percentage ]]</f>
        <v>166232.38178840419</v>
      </c>
      <c r="U29" s="61">
        <f>($C$6+$D$6+$E$6+$F$6+$G$6+$H$6+$I$6+$J$6+$K$6)*Table53[[#This Row],[Locality''s Allocation Percentage ]]</f>
        <v>1052341.6048719264</v>
      </c>
      <c r="V29" s="61">
        <f>($C$7+$D$7+$E$7+$F$7+$G$7+$H$7+$I$7+$J$7+$K$7)*Table53[[#This Row],[Locality''s Allocation Percentage ]]</f>
        <v>1297806.4718020309</v>
      </c>
      <c r="W29" s="61">
        <f>($C$8+$D$8+$E$8+$F$8+$G$8+$H$8+$I$8+$J$8+$K$8)*Table53[[#This Row],[Locality''s Allocation Percentage ]]</f>
        <v>497705.90885067766</v>
      </c>
      <c r="X29" s="61">
        <f>($C$9+$D$9+$E$9+$F$9+$G$9+$H$9+$I$9+$J$9+$K$9)*Table53[[#This Row],[Locality''s Allocation Percentage ]]</f>
        <v>534817.16260983073</v>
      </c>
      <c r="Y29" s="61">
        <f>($C$10+$D$10+$E$10+$F$10+$G$10+$H$10+$I$10+$J$10+$K$10)*Table53[[#This Row],[Locality''s Allocation Percentage ]]</f>
        <v>568383.03599235637</v>
      </c>
      <c r="Z29" s="61">
        <f>($C$11+$D$11+$E$11+$F$11+$G$11+$H$11+$I$11+$J$11+$K$11)*Table53[[#This Row],[Locality''s Allocation Percentage ]]</f>
        <v>433029.7335249153</v>
      </c>
      <c r="AA29" s="61">
        <f>($C$12+$D$12+$E$12+$F$12+$G$12+$H$12+$I$12+$J$12+$K$12)*Table53[[#This Row],[Locality''s Allocation Percentage ]]</f>
        <v>606894.32591837423</v>
      </c>
      <c r="AB29" s="61">
        <f>($C$13+$D$13+$E$13+$F$13+$G$13+$H$13+$I$13+$J$13+$K$13)*Table53[[#This Row],[Locality''s Allocation Percentage ]]</f>
        <v>609655.65595901187</v>
      </c>
      <c r="AC29" s="61">
        <f>($C$14+$D$14+$E$14+$F$14+$G$14+$H$14+$I$14+$J$14+$K$14)*Table53[[#This Row],[Locality''s Allocation Percentage ]]</f>
        <v>570816.27446699468</v>
      </c>
      <c r="AD29" s="61">
        <f>($C$15+$D$15+$E$15+$F$15+$G$15+$H$15+$I$15+$J$15+$K$15)*Table53[[#This Row],[Locality''s Allocation Percentage ]]</f>
        <v>529720.99774753128</v>
      </c>
      <c r="AE29" s="61">
        <f>($C$16+$D$16+$E$16+$F$16+$G$16+$H$16+$I$16+$J$16+$K$16)*Table53[[#This Row],[Locality''s Allocation Percentage ]]</f>
        <v>486985.76993320894</v>
      </c>
      <c r="AF29" s="61">
        <f>($C$17+$D$17+$E$17+$F$17+$G$17+$H$17+$I$17+$J$17+$K$17)*Table53[[#This Row],[Locality''s Allocation Percentage ]]</f>
        <v>371641.31657225359</v>
      </c>
      <c r="AG29" s="61">
        <f>($C$18+$D$18+$E$18+$F$18+$G$18+$H$18+$I$18+$J$18+$K$18)*Table53[[#This Row],[Locality''s Allocation Percentage ]]</f>
        <v>371641.31657225359</v>
      </c>
      <c r="AH29" s="61">
        <f>($C$19+$D$19+$E$19+$F$19+$G$19+$H$19+$I$19+$J$19+$K$19)*Table53[[#This Row],[Locality''s Allocation Percentage ]]</f>
        <v>371641.31657225359</v>
      </c>
      <c r="AI29" s="61">
        <f>($C$20+$D$20+$E$20+$F$20+$G$20+$H$20+$I$20+$J$20+$K$20)*Table53[[#This Row],[Locality''s Allocation Percentage ]]</f>
        <v>308780.00283500721</v>
      </c>
      <c r="AJ29" s="61">
        <f>($C$21+$D$21+$E$21+$F$21+$G$21+$H$21+$I$21+$J$21+$K$21)*Table53[[#This Row],[Locality''s Allocation Percentage ]]</f>
        <v>308780.00283500721</v>
      </c>
      <c r="AK29" s="61">
        <f>($C$22+$D$22+$E$22+$F$22+$G$22+$H$22+$I$22+$J$22+$K$22)*Table53[[#This Row],[Locality''s Allocation Percentage ]]</f>
        <v>216182.17498691069</v>
      </c>
      <c r="AL29" s="61"/>
      <c r="AM29" s="61"/>
      <c r="AN29" s="61">
        <f>$L$6*Table53[[#This Row],[Locality''s Allocation Percentage ]]</f>
        <v>380792.42372960947</v>
      </c>
      <c r="AO29" s="61">
        <f>$L$7*Table53[[#This Row],[Locality''s Allocation Percentage ]]</f>
        <v>440786.82077413856</v>
      </c>
      <c r="AP29" s="61">
        <f>$L$8*Table53[[#This Row],[Locality''s Allocation Percentage ]]</f>
        <v>171648.63961090418</v>
      </c>
      <c r="AQ29" s="61">
        <f>$L$9*Table53[[#This Row],[Locality''s Allocation Percentage ]]</f>
        <v>188325.65271858624</v>
      </c>
      <c r="AR29" s="61">
        <f>$L$10*Table53[[#This Row],[Locality''s Allocation Percentage ]]</f>
        <v>200633.1396255123</v>
      </c>
      <c r="AS29" s="61">
        <f>$L$11*Table53[[#This Row],[Locality''s Allocation Percentage ]]</f>
        <v>151003.59538745054</v>
      </c>
      <c r="AT29" s="61">
        <f>$L$12*Table53[[#This Row],[Locality''s Allocation Percentage ]]</f>
        <v>214753.94593171883</v>
      </c>
      <c r="AU29" s="61">
        <f>$L$13*Table53[[#This Row],[Locality''s Allocation Percentage ]]</f>
        <v>216042.85822191607</v>
      </c>
      <c r="AV29" s="61">
        <f>$L$14*Table53[[#This Row],[Locality''s Allocation Percentage ]]</f>
        <v>200924.01687284178</v>
      </c>
      <c r="AW29" s="61">
        <f>$L$15*Table53[[#This Row],[Locality''s Allocation Percentage ]]</f>
        <v>185860.13573350574</v>
      </c>
      <c r="AX29" s="61">
        <f>$L$16*Table53[[#This Row],[Locality''s Allocation Percentage ]]</f>
        <v>170190.55220158756</v>
      </c>
      <c r="AY29" s="61">
        <f>$L$17*Table53[[#This Row],[Locality''s Allocation Percentage ]]</f>
        <v>132873.22905539614</v>
      </c>
      <c r="AZ29" s="61">
        <f>$L$18*Table53[[#This Row],[Locality''s Allocation Percentage ]]</f>
        <v>132873.22905539614</v>
      </c>
      <c r="BA29" s="61">
        <f>$L$19*Table53[[#This Row],[Locality''s Allocation Percentage ]]</f>
        <v>132873.22905539614</v>
      </c>
      <c r="BB29" s="61">
        <f>$L$20*Table53[[#This Row],[Locality''s Allocation Percentage ]]</f>
        <v>109824.08068507245</v>
      </c>
      <c r="BC29" s="61">
        <f>$L$21*Table53[[#This Row],[Locality''s Allocation Percentage ]]</f>
        <v>109824.08068507245</v>
      </c>
      <c r="BD29" s="61">
        <f>$L$22*Table53[[#This Row],[Locality''s Allocation Percentage ]]</f>
        <v>79266.797495200575</v>
      </c>
      <c r="BE29" s="61"/>
      <c r="BF29" s="61">
        <f t="shared" si="3"/>
        <v>0</v>
      </c>
      <c r="BG29" s="61">
        <f t="shared" si="3"/>
        <v>95198.105932402366</v>
      </c>
      <c r="BH29" s="61">
        <f t="shared" si="40"/>
        <v>110196.70519353464</v>
      </c>
      <c r="BI29" s="61">
        <f t="shared" si="41"/>
        <v>42912.159902726045</v>
      </c>
      <c r="BJ29" s="61">
        <f t="shared" si="42"/>
        <v>47081.413179646559</v>
      </c>
      <c r="BK29" s="61">
        <f t="shared" si="43"/>
        <v>50158.284906378074</v>
      </c>
      <c r="BL29" s="61">
        <f t="shared" si="44"/>
        <v>37750.898846862634</v>
      </c>
      <c r="BM29" s="61">
        <f t="shared" si="45"/>
        <v>53688.486482929708</v>
      </c>
      <c r="BN29" s="61">
        <f t="shared" si="46"/>
        <v>54010.714555479019</v>
      </c>
      <c r="BO29" s="61">
        <f t="shared" si="47"/>
        <v>50231.004218210444</v>
      </c>
      <c r="BP29" s="61">
        <f t="shared" si="48"/>
        <v>46465.033933376435</v>
      </c>
      <c r="BQ29" s="61">
        <f t="shared" si="49"/>
        <v>42547.63805039689</v>
      </c>
      <c r="BR29" s="61">
        <f t="shared" si="50"/>
        <v>33218.307263849034</v>
      </c>
      <c r="BS29" s="61">
        <f t="shared" si="51"/>
        <v>33218.307263849034</v>
      </c>
      <c r="BT29" s="61">
        <f t="shared" si="52"/>
        <v>33218.307263849034</v>
      </c>
      <c r="BU29" s="61">
        <f t="shared" si="53"/>
        <v>27456.020171268112</v>
      </c>
      <c r="BV29" s="61">
        <f t="shared" si="54"/>
        <v>27456.020171268112</v>
      </c>
      <c r="BW29" s="61">
        <f t="shared" si="37"/>
        <v>19816.699373800144</v>
      </c>
      <c r="BX29" s="61"/>
      <c r="BY29" s="61">
        <f>($C$6+$D$6+$E$6)*Table53[[#This Row],[Locality''s Allocation Percentage ]]</f>
        <v>1052341.6048719264</v>
      </c>
      <c r="BZ29" s="61">
        <f>$L$6*Table53[[#This Row],[Locality''s Allocation Percentage ]]</f>
        <v>380792.42372960947</v>
      </c>
      <c r="CA29" s="61">
        <f t="shared" si="4"/>
        <v>95198.105932402366</v>
      </c>
      <c r="CB29" s="76">
        <f>($C$7+$D$7+$E$7)*Table53[[#This Row],[Locality''s Allocation Percentage ]]</f>
        <v>379515.304657117</v>
      </c>
      <c r="CC29" s="76">
        <f>$L$7*Table53[[#This Row],[Locality''s Allocation Percentage ]]</f>
        <v>440786.82077413856</v>
      </c>
      <c r="CD29" s="76">
        <f t="shared" si="5"/>
        <v>110196.70519353464</v>
      </c>
    </row>
    <row r="30" spans="2:82" s="19" customFormat="1" ht="18" customHeight="1" thickBot="1" x14ac:dyDescent="0.3">
      <c r="B30" s="132" t="s">
        <v>325</v>
      </c>
      <c r="C30" s="156">
        <f>C23-C29</f>
        <v>4204431.5321741104</v>
      </c>
      <c r="D30" s="156">
        <f t="shared" ref="D30:M30" si="61">D23-D29</f>
        <v>1362713.300651487</v>
      </c>
      <c r="E30" s="156">
        <f t="shared" si="61"/>
        <v>-8.0000003799796104E-3</v>
      </c>
      <c r="F30" s="156">
        <f t="shared" si="61"/>
        <v>2.3636363446712494E-2</v>
      </c>
      <c r="G30" s="156">
        <f t="shared" si="61"/>
        <v>-1.3181818649172783E-2</v>
      </c>
      <c r="H30" s="156">
        <f t="shared" si="61"/>
        <v>9.0909004211425781E-4</v>
      </c>
      <c r="I30" s="156">
        <f t="shared" si="61"/>
        <v>7.0909112691879272E-3</v>
      </c>
      <c r="J30" s="156">
        <f t="shared" si="61"/>
        <v>-2.6363637298345566E-2</v>
      </c>
      <c r="K30" s="156"/>
      <c r="L30" s="156">
        <f t="shared" si="61"/>
        <v>78729555.818861052</v>
      </c>
      <c r="M30" s="53">
        <f t="shared" si="61"/>
        <v>306297129.7739594</v>
      </c>
      <c r="N30" s="19" t="s">
        <v>238</v>
      </c>
      <c r="P30" s="36" t="s">
        <v>239</v>
      </c>
      <c r="Q30" s="37">
        <v>1.250012500125E-3</v>
      </c>
      <c r="S30" s="22" t="s">
        <v>96</v>
      </c>
      <c r="T30" s="61">
        <f>($C$5+$D$5+$E$5+$F$5+$G$5+$H$5+$I$5+$J$5+$K$5)*Table53[[#This Row],[Locality''s Allocation Percentage ]]</f>
        <v>5082.937310066176</v>
      </c>
      <c r="U30" s="61">
        <f>($C$6+$D$6+$E$6+$F$6+$G$6+$H$6+$I$6+$J$6+$K$6)*Table53[[#This Row],[Locality''s Allocation Percentage ]]</f>
        <v>32177.764336837281</v>
      </c>
      <c r="V30" s="61">
        <f>($C$7+$D$7+$E$7+$F$7+$G$7+$H$7+$I$7+$J$7+$K$7)*Table53[[#This Row],[Locality''s Allocation Percentage ]]</f>
        <v>39683.417068310635</v>
      </c>
      <c r="W30" s="61">
        <f>($C$8+$D$8+$E$8+$F$8+$G$8+$H$8+$I$8+$J$8+$K$8)*Table53[[#This Row],[Locality''s Allocation Percentage ]]</f>
        <v>15218.502594504578</v>
      </c>
      <c r="X30" s="61">
        <f>($C$9+$D$9+$E$9+$F$9+$G$9+$H$9+$I$9+$J$9+$K$9)*Table53[[#This Row],[Locality''s Allocation Percentage ]]</f>
        <v>16353.2645122869</v>
      </c>
      <c r="Y30" s="61">
        <f>($C$10+$D$10+$E$10+$F$10+$G$10+$H$10+$I$10+$J$10+$K$10)*Table53[[#This Row],[Locality''s Allocation Percentage ]]</f>
        <v>17379.618272760406</v>
      </c>
      <c r="Z30" s="61">
        <f>($C$11+$D$11+$E$11+$F$11+$G$11+$H$11+$I$11+$J$11+$K$11)*Table53[[#This Row],[Locality''s Allocation Percentage ]]</f>
        <v>13240.8798166865</v>
      </c>
      <c r="AA30" s="61">
        <f>($C$12+$D$12+$E$12+$F$12+$G$12+$H$12+$I$12+$J$12+$K$12)*Table53[[#This Row],[Locality''s Allocation Percentage ]]</f>
        <v>18557.189515605864</v>
      </c>
      <c r="AB30" s="61">
        <f>($C$13+$D$13+$E$13+$F$13+$G$13+$H$13+$I$13+$J$13+$K$13)*Table53[[#This Row],[Locality''s Allocation Percentage ]]</f>
        <v>18641.623531036323</v>
      </c>
      <c r="AC30" s="61">
        <f>($C$14+$D$14+$E$14+$F$14+$G$14+$H$14+$I$14+$J$14+$K$14)*Table53[[#This Row],[Locality''s Allocation Percentage ]]</f>
        <v>17454.020134142451</v>
      </c>
      <c r="AD30" s="61">
        <f>($C$15+$D$15+$E$15+$F$15+$G$15+$H$15+$I$15+$J$15+$K$15)*Table53[[#This Row],[Locality''s Allocation Percentage ]]</f>
        <v>16197.437553434787</v>
      </c>
      <c r="AE30" s="61">
        <f>($C$16+$D$16+$E$16+$F$16+$G$16+$H$16+$I$16+$J$16+$K$16)*Table53[[#This Row],[Locality''s Allocation Percentage ]]</f>
        <v>14890.709697077085</v>
      </c>
      <c r="AF30" s="61">
        <f>($C$17+$D$17+$E$17+$F$17+$G$17+$H$17+$I$17+$J$17+$K$17)*Table53[[#This Row],[Locality''s Allocation Percentage ]]</f>
        <v>11363.787811040045</v>
      </c>
      <c r="AG30" s="61">
        <f>($C$18+$D$18+$E$18+$F$18+$G$18+$H$18+$I$18+$J$18+$K$18)*Table53[[#This Row],[Locality''s Allocation Percentage ]]</f>
        <v>11363.787811040045</v>
      </c>
      <c r="AH30" s="61">
        <f>($C$19+$D$19+$E$19+$F$19+$G$19+$H$19+$I$19+$J$19+$K$19)*Table53[[#This Row],[Locality''s Allocation Percentage ]]</f>
        <v>11363.787811040045</v>
      </c>
      <c r="AI30" s="61">
        <f>($C$20+$D$20+$E$20+$F$20+$G$20+$H$20+$I$20+$J$20+$K$20)*Table53[[#This Row],[Locality''s Allocation Percentage ]]</f>
        <v>9441.658599407021</v>
      </c>
      <c r="AJ30" s="61">
        <f>($C$21+$D$21+$E$21+$F$21+$G$21+$H$21+$I$21+$J$21+$K$21)*Table53[[#This Row],[Locality''s Allocation Percentage ]]</f>
        <v>9441.658599407021</v>
      </c>
      <c r="AK30" s="61">
        <f>($C$22+$D$22+$E$22+$F$22+$G$22+$H$22+$I$22+$J$22+$K$22)*Table53[[#This Row],[Locality''s Allocation Percentage ]]</f>
        <v>6610.2670923101368</v>
      </c>
      <c r="AL30" s="61"/>
      <c r="AM30" s="61"/>
      <c r="AN30" s="61">
        <f>$L$6*Table53[[#This Row],[Locality''s Allocation Percentage ]]</f>
        <v>11643.603954550192</v>
      </c>
      <c r="AO30" s="61">
        <f>$L$7*Table53[[#This Row],[Locality''s Allocation Percentage ]]</f>
        <v>13478.070596078112</v>
      </c>
      <c r="AP30" s="61">
        <f>$L$8*Table53[[#This Row],[Locality''s Allocation Percentage ]]</f>
        <v>5248.551847202305</v>
      </c>
      <c r="AQ30" s="61">
        <f>$L$9*Table53[[#This Row],[Locality''s Allocation Percentage ]]</f>
        <v>5758.4898703090212</v>
      </c>
      <c r="AR30" s="61">
        <f>$L$10*Table53[[#This Row],[Locality''s Allocation Percentage ]]</f>
        <v>6134.8195824826416</v>
      </c>
      <c r="AS30" s="61">
        <f>$L$11*Table53[[#This Row],[Locality''s Allocation Percentage ]]</f>
        <v>4617.2821485888744</v>
      </c>
      <c r="AT30" s="61">
        <f>$L$12*Table53[[#This Row],[Locality''s Allocation Percentage ]]</f>
        <v>6566.5957048593091</v>
      </c>
      <c r="AU30" s="61">
        <f>$L$13*Table53[[#This Row],[Locality''s Allocation Percentage ]]</f>
        <v>6606.0071618736574</v>
      </c>
      <c r="AV30" s="61">
        <f>$L$14*Table53[[#This Row],[Locality''s Allocation Percentage ]]</f>
        <v>6143.7138231666395</v>
      </c>
      <c r="AW30" s="61">
        <f>$L$15*Table53[[#This Row],[Locality''s Allocation Percentage ]]</f>
        <v>5683.1010192485855</v>
      </c>
      <c r="AX30" s="61">
        <f>$L$16*Table53[[#This Row],[Locality''s Allocation Percentage ]]</f>
        <v>5203.9674719174282</v>
      </c>
      <c r="AY30" s="61">
        <f>$L$17*Table53[[#This Row],[Locality''s Allocation Percentage ]]</f>
        <v>4062.9045087877976</v>
      </c>
      <c r="AZ30" s="61">
        <f>$L$18*Table53[[#This Row],[Locality''s Allocation Percentage ]]</f>
        <v>4062.9045087877976</v>
      </c>
      <c r="BA30" s="61">
        <f>$L$19*Table53[[#This Row],[Locality''s Allocation Percentage ]]</f>
        <v>4062.9045087877976</v>
      </c>
      <c r="BB30" s="61">
        <f>$L$20*Table53[[#This Row],[Locality''s Allocation Percentage ]]</f>
        <v>3358.1237978556892</v>
      </c>
      <c r="BC30" s="61">
        <f>$L$21*Table53[[#This Row],[Locality''s Allocation Percentage ]]</f>
        <v>3358.1237978556892</v>
      </c>
      <c r="BD30" s="61">
        <f>$L$22*Table53[[#This Row],[Locality''s Allocation Percentage ]]</f>
        <v>2423.7646005137167</v>
      </c>
      <c r="BE30" s="61"/>
      <c r="BF30" s="61">
        <f t="shared" si="3"/>
        <v>0</v>
      </c>
      <c r="BG30" s="61">
        <f t="shared" si="3"/>
        <v>2910.9009886375479</v>
      </c>
      <c r="BH30" s="61">
        <f t="shared" si="40"/>
        <v>3369.5176490195281</v>
      </c>
      <c r="BI30" s="61">
        <f t="shared" si="41"/>
        <v>1312.1379618005762</v>
      </c>
      <c r="BJ30" s="61">
        <f t="shared" si="42"/>
        <v>1439.6224675772553</v>
      </c>
      <c r="BK30" s="61">
        <f t="shared" si="43"/>
        <v>1533.7048956206604</v>
      </c>
      <c r="BL30" s="61">
        <f t="shared" si="44"/>
        <v>1154.3205371472186</v>
      </c>
      <c r="BM30" s="61">
        <f t="shared" si="45"/>
        <v>1641.6489262148273</v>
      </c>
      <c r="BN30" s="61">
        <f t="shared" si="46"/>
        <v>1651.5017904684144</v>
      </c>
      <c r="BO30" s="61">
        <f t="shared" si="47"/>
        <v>1535.9284557916599</v>
      </c>
      <c r="BP30" s="61">
        <f t="shared" si="48"/>
        <v>1420.7752548121464</v>
      </c>
      <c r="BQ30" s="61">
        <f t="shared" si="49"/>
        <v>1300.991867979357</v>
      </c>
      <c r="BR30" s="61">
        <f t="shared" si="50"/>
        <v>1015.7261271969494</v>
      </c>
      <c r="BS30" s="61">
        <f t="shared" si="51"/>
        <v>1015.7261271969494</v>
      </c>
      <c r="BT30" s="61">
        <f t="shared" si="52"/>
        <v>1015.7261271969494</v>
      </c>
      <c r="BU30" s="61">
        <f t="shared" si="53"/>
        <v>839.5309494639223</v>
      </c>
      <c r="BV30" s="61">
        <f t="shared" si="54"/>
        <v>839.5309494639223</v>
      </c>
      <c r="BW30" s="61">
        <f t="shared" si="37"/>
        <v>605.94115012842917</v>
      </c>
      <c r="BX30" s="61"/>
      <c r="BY30" s="61">
        <f>($C$6+$D$6+$E$6)*Table53[[#This Row],[Locality''s Allocation Percentage ]]</f>
        <v>32177.764336837281</v>
      </c>
      <c r="BZ30" s="61">
        <f>$L$6*Table53[[#This Row],[Locality''s Allocation Percentage ]]</f>
        <v>11643.603954550192</v>
      </c>
      <c r="CA30" s="61">
        <f t="shared" si="4"/>
        <v>2910.9009886375479</v>
      </c>
      <c r="CB30" s="76">
        <f>($C$7+$D$7+$E$7)*Table53[[#This Row],[Locality''s Allocation Percentage ]]</f>
        <v>11604.553102284644</v>
      </c>
      <c r="CC30" s="76">
        <f>$L$7*Table53[[#This Row],[Locality''s Allocation Percentage ]]</f>
        <v>13478.070596078112</v>
      </c>
      <c r="CD30" s="76">
        <f t="shared" si="5"/>
        <v>3369.5176490195281</v>
      </c>
    </row>
    <row r="31" spans="2:82" s="19" customFormat="1" ht="18" customHeight="1" x14ac:dyDescent="0.25">
      <c r="B31" s="254" t="s">
        <v>240</v>
      </c>
      <c r="C31" s="255"/>
      <c r="D31" s="255"/>
      <c r="E31" s="255"/>
      <c r="F31" s="255"/>
      <c r="G31" s="255"/>
      <c r="H31" s="255"/>
      <c r="I31" s="255"/>
      <c r="J31" s="255"/>
      <c r="K31" s="255"/>
      <c r="L31" s="256"/>
      <c r="N31" s="23">
        <v>24594461.260000002</v>
      </c>
      <c r="P31" s="36" t="s">
        <v>97</v>
      </c>
      <c r="Q31" s="37">
        <v>2.8300283002829999E-3</v>
      </c>
      <c r="S31" s="22" t="s">
        <v>97</v>
      </c>
      <c r="T31" s="61">
        <f>($C$5+$D$5+$E$5+$F$5+$G$5+$H$5+$I$5+$J$5+$K$5)*Table53[[#This Row],[Locality''s Allocation Percentage ]]</f>
        <v>11507.770069989821</v>
      </c>
      <c r="U31" s="61">
        <f>($C$6+$D$6+$E$6+$F$6+$G$6+$H$6+$I$6+$J$6+$K$6)*Table53[[#This Row],[Locality''s Allocation Percentage ]]</f>
        <v>72850.458458599605</v>
      </c>
      <c r="V31" s="61">
        <f>($C$7+$D$7+$E$7+$F$7+$G$7+$H$7+$I$7+$J$7+$K$7)*Table53[[#This Row],[Locality''s Allocation Percentage ]]</f>
        <v>89843.256242655276</v>
      </c>
      <c r="W31" s="61">
        <f>($C$8+$D$8+$E$8+$F$8+$G$8+$H$8+$I$8+$J$8+$K$8)*Table53[[#This Row],[Locality''s Allocation Percentage ]]</f>
        <v>34454.689873958363</v>
      </c>
      <c r="X31" s="61">
        <f>($C$9+$D$9+$E$9+$F$9+$G$9+$H$9+$I$9+$J$9+$K$9)*Table53[[#This Row],[Locality''s Allocation Percentage ]]</f>
        <v>37023.79085581754</v>
      </c>
      <c r="Y31" s="61">
        <f>($C$10+$D$10+$E$10+$F$10+$G$10+$H$10+$I$10+$J$10+$K$10)*Table53[[#This Row],[Locality''s Allocation Percentage ]]</f>
        <v>39347.455769529559</v>
      </c>
      <c r="Z31" s="61">
        <f>($C$11+$D$11+$E$11+$F$11+$G$11+$H$11+$I$11+$J$11+$K$11)*Table53[[#This Row],[Locality''s Allocation Percentage ]]</f>
        <v>29977.351904978234</v>
      </c>
      <c r="AA31" s="61">
        <f>($C$12+$D$12+$E$12+$F$12+$G$12+$H$12+$I$12+$J$12+$K$12)*Table53[[#This Row],[Locality''s Allocation Percentage ]]</f>
        <v>42013.47706333168</v>
      </c>
      <c r="AB31" s="61">
        <f>($C$13+$D$13+$E$13+$F$13+$G$13+$H$13+$I$13+$J$13+$K$13)*Table53[[#This Row],[Locality''s Allocation Percentage ]]</f>
        <v>42204.635674266239</v>
      </c>
      <c r="AC31" s="61">
        <f>($C$14+$D$14+$E$14+$F$14+$G$14+$H$14+$I$14+$J$14+$K$14)*Table53[[#This Row],[Locality''s Allocation Percentage ]]</f>
        <v>39515.901583698513</v>
      </c>
      <c r="AD31" s="61">
        <f>($C$15+$D$15+$E$15+$F$15+$G$15+$H$15+$I$15+$J$15+$K$15)*Table53[[#This Row],[Locality''s Allocation Percentage ]]</f>
        <v>36670.998620976352</v>
      </c>
      <c r="AE31" s="61">
        <f>($C$16+$D$16+$E$16+$F$16+$G$16+$H$16+$I$16+$J$16+$K$16)*Table53[[#This Row],[Locality''s Allocation Percentage ]]</f>
        <v>33712.566754182517</v>
      </c>
      <c r="AF31" s="61">
        <f>($C$17+$D$17+$E$17+$F$17+$G$17+$H$17+$I$17+$J$17+$K$17)*Table53[[#This Row],[Locality''s Allocation Percentage ]]</f>
        <v>25727.615604194663</v>
      </c>
      <c r="AG31" s="61">
        <f>($C$18+$D$18+$E$18+$F$18+$G$18+$H$18+$I$18+$J$18+$K$18)*Table53[[#This Row],[Locality''s Allocation Percentage ]]</f>
        <v>25727.615604194663</v>
      </c>
      <c r="AH31" s="61">
        <f>($C$19+$D$19+$E$19+$F$19+$G$19+$H$19+$I$19+$J$19+$K$19)*Table53[[#This Row],[Locality''s Allocation Percentage ]]</f>
        <v>25727.615604194663</v>
      </c>
      <c r="AI31" s="61">
        <f>($C$20+$D$20+$E$20+$F$20+$G$20+$H$20+$I$20+$J$20+$K$20)*Table53[[#This Row],[Locality''s Allocation Percentage ]]</f>
        <v>21375.915069057497</v>
      </c>
      <c r="AJ31" s="61">
        <f>($C$21+$D$21+$E$21+$F$21+$G$21+$H$21+$I$21+$J$21+$K$21)*Table53[[#This Row],[Locality''s Allocation Percentage ]]</f>
        <v>21375.915069057497</v>
      </c>
      <c r="AK31" s="61">
        <f>($C$22+$D$22+$E$22+$F$22+$G$22+$H$22+$I$22+$J$22+$K$22)*Table53[[#This Row],[Locality''s Allocation Percentage ]]</f>
        <v>14965.644696990148</v>
      </c>
      <c r="AL31" s="61"/>
      <c r="AM31" s="61"/>
      <c r="AN31" s="61">
        <f>$L$6*Table53[[#This Row],[Locality''s Allocation Percentage ]]</f>
        <v>26361.119353101632</v>
      </c>
      <c r="AO31" s="61">
        <f>$L$7*Table53[[#This Row],[Locality''s Allocation Percentage ]]</f>
        <v>30514.351829520845</v>
      </c>
      <c r="AP31" s="61">
        <f>$L$8*Table53[[#This Row],[Locality''s Allocation Percentage ]]</f>
        <v>11882.721382066018</v>
      </c>
      <c r="AQ31" s="61">
        <f>$L$9*Table53[[#This Row],[Locality''s Allocation Percentage ]]</f>
        <v>13037.221066379625</v>
      </c>
      <c r="AR31" s="61">
        <f>$L$10*Table53[[#This Row],[Locality''s Allocation Percentage ]]</f>
        <v>13889.2315347407</v>
      </c>
      <c r="AS31" s="61">
        <f>$L$11*Table53[[#This Row],[Locality''s Allocation Percentage ]]</f>
        <v>10453.526784405212</v>
      </c>
      <c r="AT31" s="61">
        <f>$L$12*Table53[[#This Row],[Locality''s Allocation Percentage ]]</f>
        <v>14866.772675801476</v>
      </c>
      <c r="AU31" s="61">
        <f>$L$13*Table53[[#This Row],[Locality''s Allocation Percentage ]]</f>
        <v>14956.000214481959</v>
      </c>
      <c r="AV31" s="61">
        <f>$L$14*Table53[[#This Row],[Locality''s Allocation Percentage ]]</f>
        <v>13909.368095649272</v>
      </c>
      <c r="AW31" s="61">
        <f>$L$15*Table53[[#This Row],[Locality''s Allocation Percentage ]]</f>
        <v>12866.540707578797</v>
      </c>
      <c r="AX31" s="61">
        <f>$L$16*Table53[[#This Row],[Locality''s Allocation Percentage ]]</f>
        <v>11781.782356421056</v>
      </c>
      <c r="AY31" s="61">
        <f>$L$17*Table53[[#This Row],[Locality''s Allocation Percentage ]]</f>
        <v>9198.4158078955734</v>
      </c>
      <c r="AZ31" s="61">
        <f>$L$18*Table53[[#This Row],[Locality''s Allocation Percentage ]]</f>
        <v>9198.4158078955734</v>
      </c>
      <c r="BA31" s="61">
        <f>$L$19*Table53[[#This Row],[Locality''s Allocation Percentage ]]</f>
        <v>9198.4158078955734</v>
      </c>
      <c r="BB31" s="61">
        <f>$L$20*Table53[[#This Row],[Locality''s Allocation Percentage ]]</f>
        <v>7602.7922783452805</v>
      </c>
      <c r="BC31" s="61">
        <f>$L$21*Table53[[#This Row],[Locality''s Allocation Percentage ]]</f>
        <v>7602.7922783452805</v>
      </c>
      <c r="BD31" s="61">
        <f>$L$22*Table53[[#This Row],[Locality''s Allocation Percentage ]]</f>
        <v>5487.4030555630543</v>
      </c>
      <c r="BE31" s="61"/>
      <c r="BF31" s="61">
        <f t="shared" si="3"/>
        <v>0</v>
      </c>
      <c r="BG31" s="61">
        <f t="shared" si="3"/>
        <v>6590.2798382754081</v>
      </c>
      <c r="BH31" s="61">
        <f t="shared" si="40"/>
        <v>7628.5879573802113</v>
      </c>
      <c r="BI31" s="61">
        <f t="shared" si="41"/>
        <v>2970.6803455165045</v>
      </c>
      <c r="BJ31" s="61">
        <f t="shared" si="42"/>
        <v>3259.3052665949062</v>
      </c>
      <c r="BK31" s="61">
        <f t="shared" si="43"/>
        <v>3472.3078836851751</v>
      </c>
      <c r="BL31" s="61">
        <f t="shared" si="44"/>
        <v>2613.3816961013031</v>
      </c>
      <c r="BM31" s="61">
        <f t="shared" si="45"/>
        <v>3716.693168950369</v>
      </c>
      <c r="BN31" s="61">
        <f t="shared" si="46"/>
        <v>3739.0000536204898</v>
      </c>
      <c r="BO31" s="61">
        <f t="shared" si="47"/>
        <v>3477.3420239123179</v>
      </c>
      <c r="BP31" s="61">
        <f t="shared" si="48"/>
        <v>3216.6351768946993</v>
      </c>
      <c r="BQ31" s="61">
        <f t="shared" si="49"/>
        <v>2945.4455891052639</v>
      </c>
      <c r="BR31" s="61">
        <f t="shared" si="50"/>
        <v>2299.6039519738933</v>
      </c>
      <c r="BS31" s="61">
        <f t="shared" si="51"/>
        <v>2299.6039519738933</v>
      </c>
      <c r="BT31" s="61">
        <f t="shared" si="52"/>
        <v>2299.6039519738933</v>
      </c>
      <c r="BU31" s="61">
        <f t="shared" si="53"/>
        <v>1900.6980695863201</v>
      </c>
      <c r="BV31" s="61">
        <f t="shared" si="54"/>
        <v>1900.6980695863201</v>
      </c>
      <c r="BW31" s="61">
        <f t="shared" si="37"/>
        <v>1371.8507638907636</v>
      </c>
      <c r="BX31" s="61"/>
      <c r="BY31" s="61">
        <f>($C$6+$D$6+$E$6)*Table53[[#This Row],[Locality''s Allocation Percentage ]]</f>
        <v>72850.458458599605</v>
      </c>
      <c r="BZ31" s="61">
        <f>$L$6*Table53[[#This Row],[Locality''s Allocation Percentage ]]</f>
        <v>26361.119353101632</v>
      </c>
      <c r="CA31" s="61">
        <f t="shared" si="4"/>
        <v>6590.2798382754081</v>
      </c>
      <c r="CB31" s="76">
        <f>($C$7+$D$7+$E$7)*Table53[[#This Row],[Locality''s Allocation Percentage ]]</f>
        <v>26272.708223572434</v>
      </c>
      <c r="CC31" s="76">
        <f>$L$7*Table53[[#This Row],[Locality''s Allocation Percentage ]]</f>
        <v>30514.351829520845</v>
      </c>
      <c r="CD31" s="76">
        <f t="shared" si="5"/>
        <v>7628.5879573802113</v>
      </c>
    </row>
    <row r="32" spans="2:82" s="19" customFormat="1" ht="18" customHeight="1" thickBot="1" x14ac:dyDescent="0.3">
      <c r="B32" s="257"/>
      <c r="C32" s="258"/>
      <c r="D32" s="258"/>
      <c r="E32" s="258"/>
      <c r="F32" s="258"/>
      <c r="G32" s="258"/>
      <c r="H32" s="258"/>
      <c r="I32" s="258"/>
      <c r="J32" s="258"/>
      <c r="K32" s="258"/>
      <c r="L32" s="259"/>
      <c r="M32" s="35">
        <f>7496807.7*0.55</f>
        <v>4123244.2350000003</v>
      </c>
      <c r="P32" s="36" t="s">
        <v>98</v>
      </c>
      <c r="Q32" s="37">
        <v>1.0000100001E-3</v>
      </c>
      <c r="S32" s="22" t="s">
        <v>98</v>
      </c>
      <c r="T32" s="61">
        <f>($C$5+$D$5+$E$5+$F$5+$G$5+$H$5+$I$5+$J$5+$K$5)*Table53[[#This Row],[Locality''s Allocation Percentage ]]</f>
        <v>4066.3498480529406</v>
      </c>
      <c r="U32" s="61">
        <f>($C$6+$D$6+$E$6+$F$6+$G$6+$H$6+$I$6+$J$6+$K$6)*Table53[[#This Row],[Locality''s Allocation Percentage ]]</f>
        <v>25742.211469469825</v>
      </c>
      <c r="V32" s="61">
        <f>($C$7+$D$7+$E$7+$F$7+$G$7+$H$7+$I$7+$J$7+$K$7)*Table53[[#This Row],[Locality''s Allocation Percentage ]]</f>
        <v>31746.733654648509</v>
      </c>
      <c r="W32" s="61">
        <f>($C$8+$D$8+$E$8+$F$8+$G$8+$H$8+$I$8+$J$8+$K$8)*Table53[[#This Row],[Locality''s Allocation Percentage ]]</f>
        <v>12174.802075603662</v>
      </c>
      <c r="X32" s="61">
        <f>($C$9+$D$9+$E$9+$F$9+$G$9+$H$9+$I$9+$J$9+$K$9)*Table53[[#This Row],[Locality''s Allocation Percentage ]]</f>
        <v>13082.611609829521</v>
      </c>
      <c r="Y32" s="61">
        <f>($C$10+$D$10+$E$10+$F$10+$G$10+$H$10+$I$10+$J$10+$K$10)*Table53[[#This Row],[Locality''s Allocation Percentage ]]</f>
        <v>13903.694618208327</v>
      </c>
      <c r="Z32" s="61">
        <f>($C$11+$D$11+$E$11+$F$11+$G$11+$H$11+$I$11+$J$11+$K$11)*Table53[[#This Row],[Locality''s Allocation Percentage ]]</f>
        <v>10592.703853349201</v>
      </c>
      <c r="AA32" s="61">
        <f>($C$12+$D$12+$E$12+$F$12+$G$12+$H$12+$I$12+$J$12+$K$12)*Table53[[#This Row],[Locality''s Allocation Percentage ]]</f>
        <v>14845.751612484693</v>
      </c>
      <c r="AB32" s="61">
        <f>($C$13+$D$13+$E$13+$F$13+$G$13+$H$13+$I$13+$J$13+$K$13)*Table53[[#This Row],[Locality''s Allocation Percentage ]]</f>
        <v>14913.29882482906</v>
      </c>
      <c r="AC32" s="61">
        <f>($C$14+$D$14+$E$14+$F$14+$G$14+$H$14+$I$14+$J$14+$K$14)*Table53[[#This Row],[Locality''s Allocation Percentage ]]</f>
        <v>13963.216107313961</v>
      </c>
      <c r="AD32" s="61">
        <f>($C$15+$D$15+$E$15+$F$15+$G$15+$H$15+$I$15+$J$15+$K$15)*Table53[[#This Row],[Locality''s Allocation Percentage ]]</f>
        <v>12957.950042747831</v>
      </c>
      <c r="AE32" s="61">
        <f>($C$16+$D$16+$E$16+$F$16+$G$16+$H$16+$I$16+$J$16+$K$16)*Table53[[#This Row],[Locality''s Allocation Percentage ]]</f>
        <v>11912.567757661669</v>
      </c>
      <c r="AF32" s="61">
        <f>($C$17+$D$17+$E$17+$F$17+$G$17+$H$17+$I$17+$J$17+$K$17)*Table53[[#This Row],[Locality''s Allocation Percentage ]]</f>
        <v>9091.0302488320358</v>
      </c>
      <c r="AG32" s="61">
        <f>($C$18+$D$18+$E$18+$F$18+$G$18+$H$18+$I$18+$J$18+$K$18)*Table53[[#This Row],[Locality''s Allocation Percentage ]]</f>
        <v>9091.0302488320358</v>
      </c>
      <c r="AH32" s="61">
        <f>($C$19+$D$19+$E$19+$F$19+$G$19+$H$19+$I$19+$J$19+$K$19)*Table53[[#This Row],[Locality''s Allocation Percentage ]]</f>
        <v>9091.0302488320358</v>
      </c>
      <c r="AI32" s="61">
        <f>($C$20+$D$20+$E$20+$F$20+$G$20+$H$20+$I$20+$J$20+$K$20)*Table53[[#This Row],[Locality''s Allocation Percentage ]]</f>
        <v>7553.3268795256181</v>
      </c>
      <c r="AJ32" s="61">
        <f>($C$21+$D$21+$E$21+$F$21+$G$21+$H$21+$I$21+$J$21+$K$21)*Table53[[#This Row],[Locality''s Allocation Percentage ]]</f>
        <v>7553.3268795256181</v>
      </c>
      <c r="AK32" s="61">
        <f>($C$22+$D$22+$E$22+$F$22+$G$22+$H$22+$I$22+$J$22+$K$22)*Table53[[#This Row],[Locality''s Allocation Percentage ]]</f>
        <v>5288.2136738481095</v>
      </c>
      <c r="AL32" s="61"/>
      <c r="AM32" s="61"/>
      <c r="AN32" s="61">
        <f>$L$6*Table53[[#This Row],[Locality''s Allocation Percentage ]]</f>
        <v>9314.8831636401537</v>
      </c>
      <c r="AO32" s="61">
        <f>$L$7*Table53[[#This Row],[Locality''s Allocation Percentage ]]</f>
        <v>10782.45647686249</v>
      </c>
      <c r="AP32" s="61">
        <f>$L$8*Table53[[#This Row],[Locality''s Allocation Percentage ]]</f>
        <v>4198.8414777618436</v>
      </c>
      <c r="AQ32" s="61">
        <f>$L$9*Table53[[#This Row],[Locality''s Allocation Percentage ]]</f>
        <v>4606.7918962472177</v>
      </c>
      <c r="AR32" s="61">
        <f>$L$10*Table53[[#This Row],[Locality''s Allocation Percentage ]]</f>
        <v>4907.8556659861133</v>
      </c>
      <c r="AS32" s="61">
        <f>$L$11*Table53[[#This Row],[Locality''s Allocation Percentage ]]</f>
        <v>3693.8257188711</v>
      </c>
      <c r="AT32" s="61">
        <f>$L$12*Table53[[#This Row],[Locality''s Allocation Percentage ]]</f>
        <v>5253.276563887448</v>
      </c>
      <c r="AU32" s="61">
        <f>$L$13*Table53[[#This Row],[Locality''s Allocation Percentage ]]</f>
        <v>5284.8057294989258</v>
      </c>
      <c r="AV32" s="61">
        <f>$L$14*Table53[[#This Row],[Locality''s Allocation Percentage ]]</f>
        <v>4914.9710585333114</v>
      </c>
      <c r="AW32" s="61">
        <f>$L$15*Table53[[#This Row],[Locality''s Allocation Percentage ]]</f>
        <v>4546.4808153988688</v>
      </c>
      <c r="AX32" s="61">
        <f>$L$16*Table53[[#This Row],[Locality''s Allocation Percentage ]]</f>
        <v>4163.1739775339429</v>
      </c>
      <c r="AY32" s="61">
        <f>$L$17*Table53[[#This Row],[Locality''s Allocation Percentage ]]</f>
        <v>3250.3236070302382</v>
      </c>
      <c r="AZ32" s="61">
        <f>$L$18*Table53[[#This Row],[Locality''s Allocation Percentage ]]</f>
        <v>3250.3236070302382</v>
      </c>
      <c r="BA32" s="61">
        <f>$L$19*Table53[[#This Row],[Locality''s Allocation Percentage ]]</f>
        <v>3250.3236070302382</v>
      </c>
      <c r="BB32" s="61">
        <f>$L$20*Table53[[#This Row],[Locality''s Allocation Percentage ]]</f>
        <v>2686.4990382845517</v>
      </c>
      <c r="BC32" s="61">
        <f>$L$21*Table53[[#This Row],[Locality''s Allocation Percentage ]]</f>
        <v>2686.4990382845517</v>
      </c>
      <c r="BD32" s="61">
        <f>$L$22*Table53[[#This Row],[Locality''s Allocation Percentage ]]</f>
        <v>1939.0116804109734</v>
      </c>
      <c r="BE32" s="61"/>
      <c r="BF32" s="61">
        <f t="shared" si="3"/>
        <v>0</v>
      </c>
      <c r="BG32" s="61">
        <f t="shared" si="3"/>
        <v>2328.7207909100384</v>
      </c>
      <c r="BH32" s="61">
        <f t="shared" si="40"/>
        <v>2695.6141192156224</v>
      </c>
      <c r="BI32" s="61">
        <f t="shared" si="41"/>
        <v>1049.7103694404609</v>
      </c>
      <c r="BJ32" s="61">
        <f t="shared" si="42"/>
        <v>1151.6979740618044</v>
      </c>
      <c r="BK32" s="61">
        <f t="shared" si="43"/>
        <v>1226.9639164965283</v>
      </c>
      <c r="BL32" s="61">
        <f t="shared" si="44"/>
        <v>923.45642971777499</v>
      </c>
      <c r="BM32" s="61">
        <f t="shared" si="45"/>
        <v>1313.319140971862</v>
      </c>
      <c r="BN32" s="61">
        <f t="shared" si="46"/>
        <v>1321.2014323747314</v>
      </c>
      <c r="BO32" s="61">
        <f t="shared" si="47"/>
        <v>1228.7427646333279</v>
      </c>
      <c r="BP32" s="61">
        <f t="shared" si="48"/>
        <v>1136.6202038497172</v>
      </c>
      <c r="BQ32" s="61">
        <f t="shared" si="49"/>
        <v>1040.7934943834857</v>
      </c>
      <c r="BR32" s="61">
        <f t="shared" si="50"/>
        <v>812.58090175755956</v>
      </c>
      <c r="BS32" s="61">
        <f t="shared" si="51"/>
        <v>812.58090175755956</v>
      </c>
      <c r="BT32" s="61">
        <f t="shared" si="52"/>
        <v>812.58090175755956</v>
      </c>
      <c r="BU32" s="61">
        <f t="shared" si="53"/>
        <v>671.62475957113793</v>
      </c>
      <c r="BV32" s="61">
        <f t="shared" si="54"/>
        <v>671.62475957113793</v>
      </c>
      <c r="BW32" s="61">
        <f t="shared" si="37"/>
        <v>484.75292010274336</v>
      </c>
      <c r="BX32" s="61"/>
      <c r="BY32" s="61">
        <f>($C$6+$D$6+$E$6)*Table53[[#This Row],[Locality''s Allocation Percentage ]]</f>
        <v>25742.211469469825</v>
      </c>
      <c r="BZ32" s="61">
        <f>$L$6*Table53[[#This Row],[Locality''s Allocation Percentage ]]</f>
        <v>9314.8831636401537</v>
      </c>
      <c r="CA32" s="61">
        <f t="shared" si="4"/>
        <v>2328.7207909100384</v>
      </c>
      <c r="CB32" s="76">
        <f>($C$7+$D$7+$E$7)*Table53[[#This Row],[Locality''s Allocation Percentage ]]</f>
        <v>9283.6424818277155</v>
      </c>
      <c r="CC32" s="76">
        <f>$L$7*Table53[[#This Row],[Locality''s Allocation Percentage ]]</f>
        <v>10782.45647686249</v>
      </c>
      <c r="CD32" s="76">
        <f t="shared" si="5"/>
        <v>2695.6141192156224</v>
      </c>
    </row>
    <row r="33" spans="2:82" s="19" customFormat="1" ht="19.5" customHeight="1" thickBot="1" x14ac:dyDescent="0.3">
      <c r="B33" s="16" t="s">
        <v>49</v>
      </c>
      <c r="C33" s="17" t="s">
        <v>40</v>
      </c>
      <c r="D33" s="17" t="s">
        <v>41</v>
      </c>
      <c r="E33" s="17" t="s">
        <v>50</v>
      </c>
      <c r="F33" s="17" t="s">
        <v>44</v>
      </c>
      <c r="G33" s="17" t="s">
        <v>45</v>
      </c>
      <c r="H33" s="17" t="s">
        <v>51</v>
      </c>
      <c r="I33" s="17" t="s">
        <v>47</v>
      </c>
      <c r="J33" s="17" t="s">
        <v>48</v>
      </c>
      <c r="K33" s="193" t="s">
        <v>388</v>
      </c>
      <c r="L33" s="18" t="s">
        <v>241</v>
      </c>
      <c r="N33" s="19">
        <f>SUM(N24,N28)</f>
        <v>13085.632667926668</v>
      </c>
      <c r="P33" s="36" t="s">
        <v>242</v>
      </c>
      <c r="Q33" s="37">
        <v>7.0000700006999999E-4</v>
      </c>
      <c r="S33" s="22" t="s">
        <v>99</v>
      </c>
      <c r="T33" s="61">
        <f>($C$5+$D$5+$E$5+$F$5+$G$5+$H$5+$I$5+$J$5+$K$5)*Table53[[#This Row],[Locality''s Allocation Percentage ]]</f>
        <v>2846.4448936370586</v>
      </c>
      <c r="U33" s="61">
        <f>($C$6+$D$6+$E$6+$F$6+$G$6+$H$6+$I$6+$J$6+$K$6)*Table53[[#This Row],[Locality''s Allocation Percentage ]]</f>
        <v>18019.548028628877</v>
      </c>
      <c r="V33" s="61">
        <f>($C$7+$D$7+$E$7+$F$7+$G$7+$H$7+$I$7+$J$7+$K$7)*Table53[[#This Row],[Locality''s Allocation Percentage ]]</f>
        <v>22222.713558253956</v>
      </c>
      <c r="W33" s="61">
        <f>($C$8+$D$8+$E$8+$F$8+$G$8+$H$8+$I$8+$J$8+$K$8)*Table53[[#This Row],[Locality''s Allocation Percentage ]]</f>
        <v>8522.3614529225633</v>
      </c>
      <c r="X33" s="61">
        <f>($C$9+$D$9+$E$9+$F$9+$G$9+$H$9+$I$9+$J$9+$K$9)*Table53[[#This Row],[Locality''s Allocation Percentage ]]</f>
        <v>9157.8281268806641</v>
      </c>
      <c r="Y33" s="61">
        <f>($C$10+$D$10+$E$10+$F$10+$G$10+$H$10+$I$10+$J$10+$K$10)*Table53[[#This Row],[Locality''s Allocation Percentage ]]</f>
        <v>9732.586232745829</v>
      </c>
      <c r="Z33" s="61">
        <f>($C$11+$D$11+$E$11+$F$11+$G$11+$H$11+$I$11+$J$11+$K$11)*Table53[[#This Row],[Locality''s Allocation Percentage ]]</f>
        <v>7414.8926973444395</v>
      </c>
      <c r="AA33" s="61">
        <f>($C$12+$D$12+$E$12+$F$12+$G$12+$H$12+$I$12+$J$12+$K$12)*Table53[[#This Row],[Locality''s Allocation Percentage ]]</f>
        <v>10392.026128739284</v>
      </c>
      <c r="AB33" s="61">
        <f>($C$13+$D$13+$E$13+$F$13+$G$13+$H$13+$I$13+$J$13+$K$13)*Table53[[#This Row],[Locality''s Allocation Percentage ]]</f>
        <v>10439.309177380341</v>
      </c>
      <c r="AC33" s="61">
        <f>($C$14+$D$14+$E$14+$F$14+$G$14+$H$14+$I$14+$J$14+$K$14)*Table53[[#This Row],[Locality''s Allocation Percentage ]]</f>
        <v>9774.2512751197737</v>
      </c>
      <c r="AD33" s="61">
        <f>($C$15+$D$15+$E$15+$F$15+$G$15+$H$15+$I$15+$J$15+$K$15)*Table53[[#This Row],[Locality''s Allocation Percentage ]]</f>
        <v>9070.5650299234803</v>
      </c>
      <c r="AE33" s="61">
        <f>($C$16+$D$16+$E$16+$F$16+$G$16+$H$16+$I$16+$J$16+$K$16)*Table53[[#This Row],[Locality''s Allocation Percentage ]]</f>
        <v>8338.7974303631672</v>
      </c>
      <c r="AF33" s="61">
        <f>($C$17+$D$17+$E$17+$F$17+$G$17+$H$17+$I$17+$J$17+$K$17)*Table53[[#This Row],[Locality''s Allocation Percentage ]]</f>
        <v>6363.7211741824249</v>
      </c>
      <c r="AG33" s="61">
        <f>($C$18+$D$18+$E$18+$F$18+$G$18+$H$18+$I$18+$J$18+$K$18)*Table53[[#This Row],[Locality''s Allocation Percentage ]]</f>
        <v>6363.7211741824249</v>
      </c>
      <c r="AH33" s="61">
        <f>($C$19+$D$19+$E$19+$F$19+$G$19+$H$19+$I$19+$J$19+$K$19)*Table53[[#This Row],[Locality''s Allocation Percentage ]]</f>
        <v>6363.7211741824249</v>
      </c>
      <c r="AI33" s="61">
        <f>($C$20+$D$20+$E$20+$F$20+$G$20+$H$20+$I$20+$J$20+$K$20)*Table53[[#This Row],[Locality''s Allocation Percentage ]]</f>
        <v>5287.3288156679318</v>
      </c>
      <c r="AJ33" s="61">
        <f>($C$21+$D$21+$E$21+$F$21+$G$21+$H$21+$I$21+$J$21+$K$21)*Table53[[#This Row],[Locality''s Allocation Percentage ]]</f>
        <v>5287.3288156679318</v>
      </c>
      <c r="AK33" s="61">
        <f>($C$22+$D$22+$E$22+$F$22+$G$22+$H$22+$I$22+$J$22+$K$22)*Table53[[#This Row],[Locality''s Allocation Percentage ]]</f>
        <v>3701.7495716936764</v>
      </c>
      <c r="AL33" s="61"/>
      <c r="AM33" s="61"/>
      <c r="AN33" s="61">
        <f>$L$6*Table53[[#This Row],[Locality''s Allocation Percentage ]]</f>
        <v>6520.4182145481072</v>
      </c>
      <c r="AO33" s="61">
        <f>$L$7*Table53[[#This Row],[Locality''s Allocation Percentage ]]</f>
        <v>7547.7195338037427</v>
      </c>
      <c r="AP33" s="61">
        <f>$L$8*Table53[[#This Row],[Locality''s Allocation Percentage ]]</f>
        <v>2939.1890344332905</v>
      </c>
      <c r="AQ33" s="61">
        <f>$L$9*Table53[[#This Row],[Locality''s Allocation Percentage ]]</f>
        <v>3224.7543273730521</v>
      </c>
      <c r="AR33" s="61">
        <f>$L$10*Table53[[#This Row],[Locality''s Allocation Percentage ]]</f>
        <v>3435.4989661902791</v>
      </c>
      <c r="AS33" s="61">
        <f>$L$11*Table53[[#This Row],[Locality''s Allocation Percentage ]]</f>
        <v>2585.6780032097695</v>
      </c>
      <c r="AT33" s="61">
        <f>$L$12*Table53[[#This Row],[Locality''s Allocation Percentage ]]</f>
        <v>3677.2935947212131</v>
      </c>
      <c r="AU33" s="61">
        <f>$L$13*Table53[[#This Row],[Locality''s Allocation Percentage ]]</f>
        <v>3699.364010649248</v>
      </c>
      <c r="AV33" s="61">
        <f>$L$14*Table53[[#This Row],[Locality''s Allocation Percentage ]]</f>
        <v>3440.4797409733178</v>
      </c>
      <c r="AW33" s="61">
        <f>$L$15*Table53[[#This Row],[Locality''s Allocation Percentage ]]</f>
        <v>3182.536570779208</v>
      </c>
      <c r="AX33" s="61">
        <f>$L$16*Table53[[#This Row],[Locality''s Allocation Percentage ]]</f>
        <v>2914.2217842737596</v>
      </c>
      <c r="AY33" s="61">
        <f>$L$17*Table53[[#This Row],[Locality''s Allocation Percentage ]]</f>
        <v>2275.2265249211664</v>
      </c>
      <c r="AZ33" s="61">
        <f>$L$18*Table53[[#This Row],[Locality''s Allocation Percentage ]]</f>
        <v>2275.2265249211664</v>
      </c>
      <c r="BA33" s="61">
        <f>$L$19*Table53[[#This Row],[Locality''s Allocation Percentage ]]</f>
        <v>2275.2265249211664</v>
      </c>
      <c r="BB33" s="61">
        <f>$L$20*Table53[[#This Row],[Locality''s Allocation Percentage ]]</f>
        <v>1880.549326799186</v>
      </c>
      <c r="BC33" s="61">
        <f>$L$21*Table53[[#This Row],[Locality''s Allocation Percentage ]]</f>
        <v>1880.549326799186</v>
      </c>
      <c r="BD33" s="61">
        <f>$L$22*Table53[[#This Row],[Locality''s Allocation Percentage ]]</f>
        <v>1357.3081762876814</v>
      </c>
      <c r="BE33" s="61"/>
      <c r="BF33" s="61">
        <f t="shared" si="3"/>
        <v>0</v>
      </c>
      <c r="BG33" s="61">
        <f t="shared" si="3"/>
        <v>1630.1045536370268</v>
      </c>
      <c r="BH33" s="61">
        <f t="shared" si="40"/>
        <v>1886.9298834509357</v>
      </c>
      <c r="BI33" s="61">
        <f t="shared" si="41"/>
        <v>734.79725860832264</v>
      </c>
      <c r="BJ33" s="61">
        <f t="shared" si="42"/>
        <v>806.18858184326302</v>
      </c>
      <c r="BK33" s="61">
        <f t="shared" si="43"/>
        <v>858.87474154756978</v>
      </c>
      <c r="BL33" s="61">
        <f t="shared" si="44"/>
        <v>646.41950080244237</v>
      </c>
      <c r="BM33" s="61">
        <f t="shared" si="45"/>
        <v>919.32339868030328</v>
      </c>
      <c r="BN33" s="61">
        <f t="shared" si="46"/>
        <v>924.84100266231201</v>
      </c>
      <c r="BO33" s="61">
        <f t="shared" si="47"/>
        <v>860.11993524332945</v>
      </c>
      <c r="BP33" s="61">
        <f t="shared" si="48"/>
        <v>795.63414269480199</v>
      </c>
      <c r="BQ33" s="61">
        <f t="shared" si="49"/>
        <v>728.55544606843989</v>
      </c>
      <c r="BR33" s="61">
        <f t="shared" si="50"/>
        <v>568.8066312302916</v>
      </c>
      <c r="BS33" s="61">
        <f t="shared" si="51"/>
        <v>568.8066312302916</v>
      </c>
      <c r="BT33" s="61">
        <f t="shared" si="52"/>
        <v>568.8066312302916</v>
      </c>
      <c r="BU33" s="61">
        <f t="shared" si="53"/>
        <v>470.1373316997965</v>
      </c>
      <c r="BV33" s="61">
        <f t="shared" si="54"/>
        <v>470.1373316997965</v>
      </c>
      <c r="BW33" s="61">
        <f t="shared" si="37"/>
        <v>339.32704407192034</v>
      </c>
      <c r="BX33" s="61"/>
      <c r="BY33" s="61">
        <f>($C$6+$D$6+$E$6)*Table53[[#This Row],[Locality''s Allocation Percentage ]]</f>
        <v>18019.548028628877</v>
      </c>
      <c r="BZ33" s="61">
        <f>$L$6*Table53[[#This Row],[Locality''s Allocation Percentage ]]</f>
        <v>6520.4182145481072</v>
      </c>
      <c r="CA33" s="61">
        <f t="shared" si="4"/>
        <v>1630.1045536370268</v>
      </c>
      <c r="CB33" s="76">
        <f>($C$7+$D$7+$E$7)*Table53[[#This Row],[Locality''s Allocation Percentage ]]</f>
        <v>6498.5497372794007</v>
      </c>
      <c r="CC33" s="76">
        <f>$L$7*Table53[[#This Row],[Locality''s Allocation Percentage ]]</f>
        <v>7547.7195338037427</v>
      </c>
      <c r="CD33" s="76">
        <f t="shared" si="5"/>
        <v>1886.9298834509357</v>
      </c>
    </row>
    <row r="34" spans="2:82" s="19" customFormat="1" ht="18" customHeight="1" x14ac:dyDescent="0.25">
      <c r="B34" s="44" t="s">
        <v>55</v>
      </c>
      <c r="C34" s="45">
        <f>SUM('[1]Dist - VA Totals'!B19:B20)</f>
        <v>18072485.264686506</v>
      </c>
      <c r="D34" s="45">
        <v>0</v>
      </c>
      <c r="E34" s="46">
        <v>0</v>
      </c>
      <c r="F34" s="46">
        <v>0</v>
      </c>
      <c r="G34" s="46">
        <v>0</v>
      </c>
      <c r="H34" s="46">
        <v>0</v>
      </c>
      <c r="I34" s="46">
        <v>0</v>
      </c>
      <c r="J34" s="46">
        <v>0</v>
      </c>
      <c r="K34" s="46">
        <v>0</v>
      </c>
      <c r="L34" s="47">
        <f>SUM(C34:K34)</f>
        <v>18072485.264686506</v>
      </c>
      <c r="N34" s="19" t="s">
        <v>243</v>
      </c>
      <c r="P34" s="36" t="s">
        <v>244</v>
      </c>
      <c r="Q34" s="37">
        <v>7.9000790007900095E-3</v>
      </c>
      <c r="S34" s="22" t="s">
        <v>100</v>
      </c>
      <c r="T34" s="61">
        <f>($C$5+$D$5+$E$5+$F$5+$G$5+$H$5+$I$5+$J$5+$K$5)*Table53[[#This Row],[Locality''s Allocation Percentage ]]</f>
        <v>32124.163799618269</v>
      </c>
      <c r="U34" s="61">
        <f>($C$6+$D$6+$E$6+$F$6+$G$6+$H$6+$I$6+$J$6+$K$6)*Table53[[#This Row],[Locality''s Allocation Percentage ]]</f>
        <v>203363.47060881185</v>
      </c>
      <c r="V34" s="61">
        <f>($C$7+$D$7+$E$7+$F$7+$G$7+$H$7+$I$7+$J$7+$K$7)*Table53[[#This Row],[Locality''s Allocation Percentage ]]</f>
        <v>250799.1958717235</v>
      </c>
      <c r="W34" s="61">
        <f>($C$8+$D$8+$E$8+$F$8+$G$8+$H$8+$I$8+$J$8+$K$8)*Table53[[#This Row],[Locality''s Allocation Percentage ]]</f>
        <v>96180.936397269048</v>
      </c>
      <c r="X34" s="61">
        <f>($C$9+$D$9+$E$9+$F$9+$G$9+$H$9+$I$9+$J$9+$K$9)*Table53[[#This Row],[Locality''s Allocation Percentage ]]</f>
        <v>103352.63171765332</v>
      </c>
      <c r="Y34" s="61">
        <f>($C$10+$D$10+$E$10+$F$10+$G$10+$H$10+$I$10+$J$10+$K$10)*Table53[[#This Row],[Locality''s Allocation Percentage ]]</f>
        <v>109839.1874838459</v>
      </c>
      <c r="Z34" s="61">
        <f>($C$11+$D$11+$E$11+$F$11+$G$11+$H$11+$I$11+$J$11+$K$11)*Table53[[#This Row],[Locality''s Allocation Percentage ]]</f>
        <v>83682.360441458775</v>
      </c>
      <c r="AA34" s="61">
        <f>($C$12+$D$12+$E$12+$F$12+$G$12+$H$12+$I$12+$J$12+$K$12)*Table53[[#This Row],[Locality''s Allocation Percentage ]]</f>
        <v>117281.4377386292</v>
      </c>
      <c r="AB34" s="61">
        <f>($C$13+$D$13+$E$13+$F$13+$G$13+$H$13+$I$13+$J$13+$K$13)*Table53[[#This Row],[Locality''s Allocation Percentage ]]</f>
        <v>117815.0607161497</v>
      </c>
      <c r="AC34" s="61">
        <f>($C$14+$D$14+$E$14+$F$14+$G$14+$H$14+$I$14+$J$14+$K$14)*Table53[[#This Row],[Locality''s Allocation Percentage ]]</f>
        <v>110309.40724778043</v>
      </c>
      <c r="AD34" s="61">
        <f>($C$15+$D$15+$E$15+$F$15+$G$15+$H$15+$I$15+$J$15+$K$15)*Table53[[#This Row],[Locality''s Allocation Percentage ]]</f>
        <v>102367.80533770798</v>
      </c>
      <c r="AE34" s="61">
        <f>($C$16+$D$16+$E$16+$F$16+$G$16+$H$16+$I$16+$J$16+$K$16)*Table53[[#This Row],[Locality''s Allocation Percentage ]]</f>
        <v>94109.285285527294</v>
      </c>
      <c r="AF34" s="61">
        <f>($C$17+$D$17+$E$17+$F$17+$G$17+$H$17+$I$17+$J$17+$K$17)*Table53[[#This Row],[Locality''s Allocation Percentage ]]</f>
        <v>71819.138965773178</v>
      </c>
      <c r="AG34" s="61">
        <f>($C$18+$D$18+$E$18+$F$18+$G$18+$H$18+$I$18+$J$18+$K$18)*Table53[[#This Row],[Locality''s Allocation Percentage ]]</f>
        <v>71819.138965773178</v>
      </c>
      <c r="AH34" s="61">
        <f>($C$19+$D$19+$E$19+$F$19+$G$19+$H$19+$I$19+$J$19+$K$19)*Table53[[#This Row],[Locality''s Allocation Percentage ]]</f>
        <v>71819.138965773178</v>
      </c>
      <c r="AI34" s="61">
        <f>($C$20+$D$20+$E$20+$F$20+$G$20+$H$20+$I$20+$J$20+$K$20)*Table53[[#This Row],[Locality''s Allocation Percentage ]]</f>
        <v>59671.282348252447</v>
      </c>
      <c r="AJ34" s="61">
        <f>($C$21+$D$21+$E$21+$F$21+$G$21+$H$21+$I$21+$J$21+$K$21)*Table53[[#This Row],[Locality''s Allocation Percentage ]]</f>
        <v>59671.282348252447</v>
      </c>
      <c r="AK34" s="61">
        <f>($C$22+$D$22+$E$22+$F$22+$G$22+$H$22+$I$22+$J$22+$K$22)*Table53[[#This Row],[Locality''s Allocation Percentage ]]</f>
        <v>41776.888023400112</v>
      </c>
      <c r="AL34" s="61"/>
      <c r="AM34" s="61"/>
      <c r="AN34" s="61">
        <f>$L$6*Table53[[#This Row],[Locality''s Allocation Percentage ]]</f>
        <v>73587.576992757298</v>
      </c>
      <c r="AO34" s="61">
        <f>$L$7*Table53[[#This Row],[Locality''s Allocation Percentage ]]</f>
        <v>85181.406167213761</v>
      </c>
      <c r="AP34" s="61">
        <f>$L$8*Table53[[#This Row],[Locality''s Allocation Percentage ]]</f>
        <v>33170.847674318604</v>
      </c>
      <c r="AQ34" s="61">
        <f>$L$9*Table53[[#This Row],[Locality''s Allocation Percentage ]]</f>
        <v>36393.655980353062</v>
      </c>
      <c r="AR34" s="61">
        <f>$L$10*Table53[[#This Row],[Locality''s Allocation Percentage ]]</f>
        <v>38772.059761290344</v>
      </c>
      <c r="AS34" s="61">
        <f>$L$11*Table53[[#This Row],[Locality''s Allocation Percentage ]]</f>
        <v>29181.22317908172</v>
      </c>
      <c r="AT34" s="61">
        <f>$L$12*Table53[[#This Row],[Locality''s Allocation Percentage ]]</f>
        <v>41500.884854710886</v>
      </c>
      <c r="AU34" s="61">
        <f>$L$13*Table53[[#This Row],[Locality''s Allocation Percentage ]]</f>
        <v>41749.965263041566</v>
      </c>
      <c r="AV34" s="61">
        <f>$L$14*Table53[[#This Row],[Locality''s Allocation Percentage ]]</f>
        <v>38828.271362413208</v>
      </c>
      <c r="AW34" s="61">
        <f>$L$15*Table53[[#This Row],[Locality''s Allocation Percentage ]]</f>
        <v>35917.198441651104</v>
      </c>
      <c r="AX34" s="61">
        <f>$L$16*Table53[[#This Row],[Locality''s Allocation Percentage ]]</f>
        <v>32889.074422518184</v>
      </c>
      <c r="AY34" s="61">
        <f>$L$17*Table53[[#This Row],[Locality''s Allocation Percentage ]]</f>
        <v>25677.556495538913</v>
      </c>
      <c r="AZ34" s="61">
        <f>$L$18*Table53[[#This Row],[Locality''s Allocation Percentage ]]</f>
        <v>25677.556495538913</v>
      </c>
      <c r="BA34" s="61">
        <f>$L$19*Table53[[#This Row],[Locality''s Allocation Percentage ]]</f>
        <v>25677.556495538913</v>
      </c>
      <c r="BB34" s="61">
        <f>$L$20*Table53[[#This Row],[Locality''s Allocation Percentage ]]</f>
        <v>21223.342402447983</v>
      </c>
      <c r="BC34" s="61">
        <f>$L$21*Table53[[#This Row],[Locality''s Allocation Percentage ]]</f>
        <v>21223.342402447983</v>
      </c>
      <c r="BD34" s="61">
        <f>$L$22*Table53[[#This Row],[Locality''s Allocation Percentage ]]</f>
        <v>15318.192275246707</v>
      </c>
      <c r="BE34" s="61"/>
      <c r="BF34" s="61">
        <f t="shared" si="3"/>
        <v>0</v>
      </c>
      <c r="BG34" s="61">
        <f t="shared" si="3"/>
        <v>18396.894248189325</v>
      </c>
      <c r="BH34" s="61">
        <f t="shared" si="40"/>
        <v>21295.35154180344</v>
      </c>
      <c r="BI34" s="61">
        <f t="shared" si="41"/>
        <v>8292.711918579651</v>
      </c>
      <c r="BJ34" s="61">
        <f t="shared" si="42"/>
        <v>9098.4139950882654</v>
      </c>
      <c r="BK34" s="61">
        <f t="shared" si="43"/>
        <v>9693.014940322586</v>
      </c>
      <c r="BL34" s="61">
        <f t="shared" si="44"/>
        <v>7295.3057947704301</v>
      </c>
      <c r="BM34" s="61">
        <f t="shared" si="45"/>
        <v>10375.221213677722</v>
      </c>
      <c r="BN34" s="61">
        <f t="shared" si="46"/>
        <v>10437.491315760391</v>
      </c>
      <c r="BO34" s="61">
        <f t="shared" si="47"/>
        <v>9707.0678406033021</v>
      </c>
      <c r="BP34" s="61">
        <f t="shared" si="48"/>
        <v>8979.299610412776</v>
      </c>
      <c r="BQ34" s="61">
        <f t="shared" si="49"/>
        <v>8222.2686056295461</v>
      </c>
      <c r="BR34" s="61">
        <f t="shared" si="50"/>
        <v>6419.3891238847282</v>
      </c>
      <c r="BS34" s="61">
        <f t="shared" si="51"/>
        <v>6419.3891238847282</v>
      </c>
      <c r="BT34" s="61">
        <f t="shared" si="52"/>
        <v>6419.3891238847282</v>
      </c>
      <c r="BU34" s="61">
        <f t="shared" si="53"/>
        <v>5305.8356006119957</v>
      </c>
      <c r="BV34" s="61">
        <f t="shared" si="54"/>
        <v>5305.8356006119957</v>
      </c>
      <c r="BW34" s="61">
        <f t="shared" si="37"/>
        <v>3829.5480688116768</v>
      </c>
      <c r="BX34" s="61"/>
      <c r="BY34" s="61">
        <f>($C$6+$D$6+$E$6)*Table53[[#This Row],[Locality''s Allocation Percentage ]]</f>
        <v>203363.47060881185</v>
      </c>
      <c r="BZ34" s="61">
        <f>$L$6*Table53[[#This Row],[Locality''s Allocation Percentage ]]</f>
        <v>73587.576992757298</v>
      </c>
      <c r="CA34" s="61">
        <f t="shared" si="4"/>
        <v>18396.894248189325</v>
      </c>
      <c r="CB34" s="76">
        <f>($C$7+$D$7+$E$7)*Table53[[#This Row],[Locality''s Allocation Percentage ]]</f>
        <v>73340.775606439041</v>
      </c>
      <c r="CC34" s="76">
        <f>$L$7*Table53[[#This Row],[Locality''s Allocation Percentage ]]</f>
        <v>85181.406167213761</v>
      </c>
      <c r="CD34" s="76">
        <f t="shared" si="5"/>
        <v>21295.35154180344</v>
      </c>
    </row>
    <row r="35" spans="2:82" s="19" customFormat="1" ht="18" customHeight="1" x14ac:dyDescent="0.25">
      <c r="B35" s="48" t="s">
        <v>57</v>
      </c>
      <c r="C35" s="32">
        <f>SUM('[1]Dist - VA Totals'!C19:C20)</f>
        <v>18993300.96845736</v>
      </c>
      <c r="D35" s="49">
        <f>SUM('[1]Jan - VA Totals'!B21,'[1]Jan - VA Totals'!C21,'[1]Jan - VA Totals'!D22,'[1]Jan - VA Totals'!E21,'[1]Jan - VA Totals'!E22,'[1]Jan - VA Totals'!F21,'[1]Jan - VA Totals'!F22)</f>
        <v>72352183.330898881</v>
      </c>
      <c r="E35" s="50">
        <v>3488576.07</v>
      </c>
      <c r="F35" s="50">
        <v>0</v>
      </c>
      <c r="G35" s="50">
        <v>0</v>
      </c>
      <c r="H35" s="50">
        <v>0</v>
      </c>
      <c r="I35" s="50">
        <v>0</v>
      </c>
      <c r="J35" s="50">
        <v>0</v>
      </c>
      <c r="K35" s="50">
        <v>0</v>
      </c>
      <c r="L35" s="51">
        <f>SUM(C35:K35)</f>
        <v>94834060.36935623</v>
      </c>
      <c r="M35" s="35">
        <f>SUM(L34:L35)</f>
        <v>112906545.63404274</v>
      </c>
      <c r="N35" s="35">
        <f>E6/0.3</f>
        <v>3488576.0666666664</v>
      </c>
      <c r="P35" s="36" t="s">
        <v>245</v>
      </c>
      <c r="Q35" s="37">
        <v>1.0000100001E-3</v>
      </c>
      <c r="S35" s="22" t="s">
        <v>101</v>
      </c>
      <c r="T35" s="61">
        <f>($C$5+$D$5+$E$5+$F$5+$G$5+$H$5+$I$5+$J$5+$K$5)*Table53[[#This Row],[Locality''s Allocation Percentage ]]</f>
        <v>4066.3498480529406</v>
      </c>
      <c r="U35" s="61">
        <f>($C$6+$D$6+$E$6+$F$6+$G$6+$H$6+$I$6+$J$6+$K$6)*Table53[[#This Row],[Locality''s Allocation Percentage ]]</f>
        <v>25742.211469469825</v>
      </c>
      <c r="V35" s="61">
        <f>($C$7+$D$7+$E$7+$F$7+$G$7+$H$7+$I$7+$J$7+$K$7)*Table53[[#This Row],[Locality''s Allocation Percentage ]]</f>
        <v>31746.733654648509</v>
      </c>
      <c r="W35" s="61">
        <f>($C$8+$D$8+$E$8+$F$8+$G$8+$H$8+$I$8+$J$8+$K$8)*Table53[[#This Row],[Locality''s Allocation Percentage ]]</f>
        <v>12174.802075603662</v>
      </c>
      <c r="X35" s="61">
        <f>($C$9+$D$9+$E$9+$F$9+$G$9+$H$9+$I$9+$J$9+$K$9)*Table53[[#This Row],[Locality''s Allocation Percentage ]]</f>
        <v>13082.611609829521</v>
      </c>
      <c r="Y35" s="61">
        <f>($C$10+$D$10+$E$10+$F$10+$G$10+$H$10+$I$10+$J$10+$K$10)*Table53[[#This Row],[Locality''s Allocation Percentage ]]</f>
        <v>13903.694618208327</v>
      </c>
      <c r="Z35" s="61">
        <f>($C$11+$D$11+$E$11+$F$11+$G$11+$H$11+$I$11+$J$11+$K$11)*Table53[[#This Row],[Locality''s Allocation Percentage ]]</f>
        <v>10592.703853349201</v>
      </c>
      <c r="AA35" s="61">
        <f>($C$12+$D$12+$E$12+$F$12+$G$12+$H$12+$I$12+$J$12+$K$12)*Table53[[#This Row],[Locality''s Allocation Percentage ]]</f>
        <v>14845.751612484693</v>
      </c>
      <c r="AB35" s="61">
        <f>($C$13+$D$13+$E$13+$F$13+$G$13+$H$13+$I$13+$J$13+$K$13)*Table53[[#This Row],[Locality''s Allocation Percentage ]]</f>
        <v>14913.29882482906</v>
      </c>
      <c r="AC35" s="61">
        <f>($C$14+$D$14+$E$14+$F$14+$G$14+$H$14+$I$14+$J$14+$K$14)*Table53[[#This Row],[Locality''s Allocation Percentage ]]</f>
        <v>13963.216107313961</v>
      </c>
      <c r="AD35" s="61">
        <f>($C$15+$D$15+$E$15+$F$15+$G$15+$H$15+$I$15+$J$15+$K$15)*Table53[[#This Row],[Locality''s Allocation Percentage ]]</f>
        <v>12957.950042747831</v>
      </c>
      <c r="AE35" s="61">
        <f>($C$16+$D$16+$E$16+$F$16+$G$16+$H$16+$I$16+$J$16+$K$16)*Table53[[#This Row],[Locality''s Allocation Percentage ]]</f>
        <v>11912.567757661669</v>
      </c>
      <c r="AF35" s="61">
        <f>($C$17+$D$17+$E$17+$F$17+$G$17+$H$17+$I$17+$J$17+$K$17)*Table53[[#This Row],[Locality''s Allocation Percentage ]]</f>
        <v>9091.0302488320358</v>
      </c>
      <c r="AG35" s="61">
        <f>($C$18+$D$18+$E$18+$F$18+$G$18+$H$18+$I$18+$J$18+$K$18)*Table53[[#This Row],[Locality''s Allocation Percentage ]]</f>
        <v>9091.0302488320358</v>
      </c>
      <c r="AH35" s="61">
        <f>($C$19+$D$19+$E$19+$F$19+$G$19+$H$19+$I$19+$J$19+$K$19)*Table53[[#This Row],[Locality''s Allocation Percentage ]]</f>
        <v>9091.0302488320358</v>
      </c>
      <c r="AI35" s="61">
        <f>($C$20+$D$20+$E$20+$F$20+$G$20+$H$20+$I$20+$J$20+$K$20)*Table53[[#This Row],[Locality''s Allocation Percentage ]]</f>
        <v>7553.3268795256181</v>
      </c>
      <c r="AJ35" s="61">
        <f>($C$21+$D$21+$E$21+$F$21+$G$21+$H$21+$I$21+$J$21+$K$21)*Table53[[#This Row],[Locality''s Allocation Percentage ]]</f>
        <v>7553.3268795256181</v>
      </c>
      <c r="AK35" s="61">
        <f>($C$22+$D$22+$E$22+$F$22+$G$22+$H$22+$I$22+$J$22+$K$22)*Table53[[#This Row],[Locality''s Allocation Percentage ]]</f>
        <v>5288.2136738481095</v>
      </c>
      <c r="AL35" s="61"/>
      <c r="AM35" s="61"/>
      <c r="AN35" s="61">
        <f>$L$6*Table53[[#This Row],[Locality''s Allocation Percentage ]]</f>
        <v>9314.8831636401537</v>
      </c>
      <c r="AO35" s="61">
        <f>$L$7*Table53[[#This Row],[Locality''s Allocation Percentage ]]</f>
        <v>10782.45647686249</v>
      </c>
      <c r="AP35" s="61">
        <f>$L$8*Table53[[#This Row],[Locality''s Allocation Percentage ]]</f>
        <v>4198.8414777618436</v>
      </c>
      <c r="AQ35" s="61">
        <f>$L$9*Table53[[#This Row],[Locality''s Allocation Percentage ]]</f>
        <v>4606.7918962472177</v>
      </c>
      <c r="AR35" s="61">
        <f>$L$10*Table53[[#This Row],[Locality''s Allocation Percentage ]]</f>
        <v>4907.8556659861133</v>
      </c>
      <c r="AS35" s="61">
        <f>$L$11*Table53[[#This Row],[Locality''s Allocation Percentage ]]</f>
        <v>3693.8257188711</v>
      </c>
      <c r="AT35" s="61">
        <f>$L$12*Table53[[#This Row],[Locality''s Allocation Percentage ]]</f>
        <v>5253.276563887448</v>
      </c>
      <c r="AU35" s="61">
        <f>$L$13*Table53[[#This Row],[Locality''s Allocation Percentage ]]</f>
        <v>5284.8057294989258</v>
      </c>
      <c r="AV35" s="61">
        <f>$L$14*Table53[[#This Row],[Locality''s Allocation Percentage ]]</f>
        <v>4914.9710585333114</v>
      </c>
      <c r="AW35" s="61">
        <f>$L$15*Table53[[#This Row],[Locality''s Allocation Percentage ]]</f>
        <v>4546.4808153988688</v>
      </c>
      <c r="AX35" s="61">
        <f>$L$16*Table53[[#This Row],[Locality''s Allocation Percentage ]]</f>
        <v>4163.1739775339429</v>
      </c>
      <c r="AY35" s="61">
        <f>$L$17*Table53[[#This Row],[Locality''s Allocation Percentage ]]</f>
        <v>3250.3236070302382</v>
      </c>
      <c r="AZ35" s="61">
        <f>$L$18*Table53[[#This Row],[Locality''s Allocation Percentage ]]</f>
        <v>3250.3236070302382</v>
      </c>
      <c r="BA35" s="61">
        <f>$L$19*Table53[[#This Row],[Locality''s Allocation Percentage ]]</f>
        <v>3250.3236070302382</v>
      </c>
      <c r="BB35" s="61">
        <f>$L$20*Table53[[#This Row],[Locality''s Allocation Percentage ]]</f>
        <v>2686.4990382845517</v>
      </c>
      <c r="BC35" s="61">
        <f>$L$21*Table53[[#This Row],[Locality''s Allocation Percentage ]]</f>
        <v>2686.4990382845517</v>
      </c>
      <c r="BD35" s="61">
        <f>$L$22*Table53[[#This Row],[Locality''s Allocation Percentage ]]</f>
        <v>1939.0116804109734</v>
      </c>
      <c r="BE35" s="61"/>
      <c r="BF35" s="61">
        <f t="shared" si="3"/>
        <v>0</v>
      </c>
      <c r="BG35" s="61">
        <f t="shared" si="3"/>
        <v>2328.7207909100384</v>
      </c>
      <c r="BH35" s="61">
        <f t="shared" si="40"/>
        <v>2695.6141192156224</v>
      </c>
      <c r="BI35" s="61">
        <f t="shared" si="41"/>
        <v>1049.7103694404609</v>
      </c>
      <c r="BJ35" s="61">
        <f t="shared" si="42"/>
        <v>1151.6979740618044</v>
      </c>
      <c r="BK35" s="61">
        <f t="shared" si="43"/>
        <v>1226.9639164965283</v>
      </c>
      <c r="BL35" s="61">
        <f t="shared" si="44"/>
        <v>923.45642971777499</v>
      </c>
      <c r="BM35" s="61">
        <f t="shared" si="45"/>
        <v>1313.319140971862</v>
      </c>
      <c r="BN35" s="61">
        <f t="shared" si="46"/>
        <v>1321.2014323747314</v>
      </c>
      <c r="BO35" s="61">
        <f t="shared" si="47"/>
        <v>1228.7427646333279</v>
      </c>
      <c r="BP35" s="61">
        <f t="shared" si="48"/>
        <v>1136.6202038497172</v>
      </c>
      <c r="BQ35" s="61">
        <f t="shared" si="49"/>
        <v>1040.7934943834857</v>
      </c>
      <c r="BR35" s="61">
        <f t="shared" si="50"/>
        <v>812.58090175755956</v>
      </c>
      <c r="BS35" s="61">
        <f t="shared" si="51"/>
        <v>812.58090175755956</v>
      </c>
      <c r="BT35" s="61">
        <f t="shared" si="52"/>
        <v>812.58090175755956</v>
      </c>
      <c r="BU35" s="61">
        <f t="shared" si="53"/>
        <v>671.62475957113793</v>
      </c>
      <c r="BV35" s="61">
        <f t="shared" si="54"/>
        <v>671.62475957113793</v>
      </c>
      <c r="BW35" s="61">
        <f t="shared" si="37"/>
        <v>484.75292010274336</v>
      </c>
      <c r="BX35" s="61"/>
      <c r="BY35" s="61">
        <f>($C$6+$D$6+$E$6)*Table53[[#This Row],[Locality''s Allocation Percentage ]]</f>
        <v>25742.211469469825</v>
      </c>
      <c r="BZ35" s="61">
        <f>$L$6*Table53[[#This Row],[Locality''s Allocation Percentage ]]</f>
        <v>9314.8831636401537</v>
      </c>
      <c r="CA35" s="61">
        <f t="shared" si="4"/>
        <v>2328.7207909100384</v>
      </c>
      <c r="CB35" s="76">
        <f>($C$7+$D$7+$E$7)*Table53[[#This Row],[Locality''s Allocation Percentage ]]</f>
        <v>9283.6424818277155</v>
      </c>
      <c r="CC35" s="76">
        <f>$L$7*Table53[[#This Row],[Locality''s Allocation Percentage ]]</f>
        <v>10782.45647686249</v>
      </c>
      <c r="CD35" s="76">
        <f t="shared" si="5"/>
        <v>2695.6141192156224</v>
      </c>
    </row>
    <row r="36" spans="2:82" s="19" customFormat="1" ht="18" customHeight="1" x14ac:dyDescent="0.25">
      <c r="B36" s="130" t="s">
        <v>59</v>
      </c>
      <c r="C36" s="128">
        <f>SUM('[1]Dist - VA Totals'!D19,'[1]Dist - VA Totals'!D20)+10463543.18</f>
        <v>29456844.14845736</v>
      </c>
      <c r="D36" s="49">
        <v>0</v>
      </c>
      <c r="E36" s="50">
        <v>4104207.14</v>
      </c>
      <c r="F36" s="50">
        <f>3451342.66/0.55</f>
        <v>6275168.4727272727</v>
      </c>
      <c r="G36" s="50">
        <f>3818894.67/0.55</f>
        <v>6943444.8545454536</v>
      </c>
      <c r="H36" s="50">
        <f>(12780784.84+20852859.48)/0.55</f>
        <v>61152080.581818178</v>
      </c>
      <c r="I36" s="50">
        <f>4247420.86/0.55</f>
        <v>7722583.3818181818</v>
      </c>
      <c r="J36" s="50">
        <f>8272443.63/0.55</f>
        <v>15040806.599999998</v>
      </c>
      <c r="K36" s="50">
        <v>0</v>
      </c>
      <c r="L36" s="51">
        <f t="shared" ref="L36:L51" si="62">SUM(C36:K36)</f>
        <v>130695135.17936644</v>
      </c>
      <c r="M36" s="35"/>
      <c r="P36" s="36" t="s">
        <v>102</v>
      </c>
      <c r="Q36" s="37">
        <v>6.3700637006370098E-3</v>
      </c>
      <c r="S36" s="22" t="s">
        <v>102</v>
      </c>
      <c r="T36" s="61">
        <f>($C$5+$D$5+$E$5+$F$5+$G$5+$H$5+$I$5+$J$5+$K$5)*Table53[[#This Row],[Locality''s Allocation Percentage ]]</f>
        <v>25902.648532097272</v>
      </c>
      <c r="U36" s="61">
        <f>($C$6+$D$6+$E$6+$F$6+$G$6+$H$6+$I$6+$J$6+$K$6)*Table53[[#This Row],[Locality''s Allocation Percentage ]]</f>
        <v>163977.88706052303</v>
      </c>
      <c r="V36" s="61">
        <f>($C$7+$D$7+$E$7+$F$7+$G$7+$H$7+$I$7+$J$7+$K$7)*Table53[[#This Row],[Locality''s Allocation Percentage ]]</f>
        <v>202226.6933801113</v>
      </c>
      <c r="W36" s="61">
        <f>($C$8+$D$8+$E$8+$F$8+$G$8+$H$8+$I$8+$J$8+$K$8)*Table53[[#This Row],[Locality''s Allocation Percentage ]]</f>
        <v>77553.489221595446</v>
      </c>
      <c r="X36" s="61">
        <f>($C$9+$D$9+$E$9+$F$9+$G$9+$H$9+$I$9+$J$9+$K$9)*Table53[[#This Row],[Locality''s Allocation Percentage ]]</f>
        <v>83336.235954614167</v>
      </c>
      <c r="Y36" s="61">
        <f>($C$10+$D$10+$E$10+$F$10+$G$10+$H$10+$I$10+$J$10+$K$10)*Table53[[#This Row],[Locality''s Allocation Percentage ]]</f>
        <v>88566.534717987175</v>
      </c>
      <c r="Z36" s="61">
        <f>($C$11+$D$11+$E$11+$F$11+$G$11+$H$11+$I$11+$J$11+$K$11)*Table53[[#This Row],[Locality''s Allocation Percentage ]]</f>
        <v>67475.523545834512</v>
      </c>
      <c r="AA36" s="61">
        <f>($C$12+$D$12+$E$12+$F$12+$G$12+$H$12+$I$12+$J$12+$K$12)*Table53[[#This Row],[Locality''s Allocation Percentage ]]</f>
        <v>94567.437771527635</v>
      </c>
      <c r="AB36" s="61">
        <f>($C$13+$D$13+$E$13+$F$13+$G$13+$H$13+$I$13+$J$13+$K$13)*Table53[[#This Row],[Locality''s Allocation Percentage ]]</f>
        <v>94997.713514161253</v>
      </c>
      <c r="AC36" s="61">
        <f>($C$14+$D$14+$E$14+$F$14+$G$14+$H$14+$I$14+$J$14+$K$14)*Table53[[#This Row],[Locality''s Allocation Percentage ]]</f>
        <v>88945.686603590075</v>
      </c>
      <c r="AD36" s="61">
        <f>($C$15+$D$15+$E$15+$F$15+$G$15+$H$15+$I$15+$J$15+$K$15)*Table53[[#This Row],[Locality''s Allocation Percentage ]]</f>
        <v>82542.141772303803</v>
      </c>
      <c r="AE36" s="61">
        <f>($C$16+$D$16+$E$16+$F$16+$G$16+$H$16+$I$16+$J$16+$K$16)*Table53[[#This Row],[Locality''s Allocation Percentage ]]</f>
        <v>75883.056616304937</v>
      </c>
      <c r="AF36" s="61">
        <f>($C$17+$D$17+$E$17+$F$17+$G$17+$H$17+$I$17+$J$17+$K$17)*Table53[[#This Row],[Locality''s Allocation Percentage ]]</f>
        <v>57909.862685060158</v>
      </c>
      <c r="AG36" s="61">
        <f>($C$18+$D$18+$E$18+$F$18+$G$18+$H$18+$I$18+$J$18+$K$18)*Table53[[#This Row],[Locality''s Allocation Percentage ]]</f>
        <v>57909.862685060158</v>
      </c>
      <c r="AH36" s="61">
        <f>($C$19+$D$19+$E$19+$F$19+$G$19+$H$19+$I$19+$J$19+$K$19)*Table53[[#This Row],[Locality''s Allocation Percentage ]]</f>
        <v>57909.862685060158</v>
      </c>
      <c r="AI36" s="61">
        <f>($C$20+$D$20+$E$20+$F$20+$G$20+$H$20+$I$20+$J$20+$K$20)*Table53[[#This Row],[Locality''s Allocation Percentage ]]</f>
        <v>48114.692222578255</v>
      </c>
      <c r="AJ36" s="61">
        <f>($C$21+$D$21+$E$21+$F$21+$G$21+$H$21+$I$21+$J$21+$K$21)*Table53[[#This Row],[Locality''s Allocation Percentage ]]</f>
        <v>48114.692222578255</v>
      </c>
      <c r="AK36" s="61">
        <f>($C$22+$D$22+$E$22+$F$22+$G$22+$H$22+$I$22+$J$22+$K$22)*Table53[[#This Row],[Locality''s Allocation Percentage ]]</f>
        <v>33685.921102412511</v>
      </c>
      <c r="AL36" s="61"/>
      <c r="AM36" s="61"/>
      <c r="AN36" s="61">
        <f>$L$6*Table53[[#This Row],[Locality''s Allocation Percentage ]]</f>
        <v>59335.805752387867</v>
      </c>
      <c r="AO36" s="61">
        <f>$L$7*Table53[[#This Row],[Locality''s Allocation Percentage ]]</f>
        <v>68684.247757614168</v>
      </c>
      <c r="AP36" s="61">
        <f>$L$8*Table53[[#This Row],[Locality''s Allocation Percentage ]]</f>
        <v>26746.620213342987</v>
      </c>
      <c r="AQ36" s="61">
        <f>$L$9*Table53[[#This Row],[Locality''s Allocation Percentage ]]</f>
        <v>29345.264379094817</v>
      </c>
      <c r="AR36" s="61">
        <f>$L$10*Table53[[#This Row],[Locality''s Allocation Percentage ]]</f>
        <v>31263.040592331588</v>
      </c>
      <c r="AS36" s="61">
        <f>$L$11*Table53[[#This Row],[Locality''s Allocation Percentage ]]</f>
        <v>23529.669829208942</v>
      </c>
      <c r="AT36" s="61">
        <f>$L$12*Table53[[#This Row],[Locality''s Allocation Percentage ]]</f>
        <v>33463.371711963089</v>
      </c>
      <c r="AU36" s="61">
        <f>$L$13*Table53[[#This Row],[Locality''s Allocation Percentage ]]</f>
        <v>33664.212496908207</v>
      </c>
      <c r="AV36" s="61">
        <f>$L$14*Table53[[#This Row],[Locality''s Allocation Percentage ]]</f>
        <v>31308.365642857243</v>
      </c>
      <c r="AW36" s="61">
        <f>$L$15*Table53[[#This Row],[Locality''s Allocation Percentage ]]</f>
        <v>28961.082794090835</v>
      </c>
      <c r="AX36" s="61">
        <f>$L$16*Table53[[#This Row],[Locality''s Allocation Percentage ]]</f>
        <v>26519.418236891252</v>
      </c>
      <c r="AY36" s="61">
        <f>$L$17*Table53[[#This Row],[Locality''s Allocation Percentage ]]</f>
        <v>20704.561376782647</v>
      </c>
      <c r="AZ36" s="61">
        <f>$L$18*Table53[[#This Row],[Locality''s Allocation Percentage ]]</f>
        <v>20704.561376782647</v>
      </c>
      <c r="BA36" s="61">
        <f>$L$19*Table53[[#This Row],[Locality''s Allocation Percentage ]]</f>
        <v>20704.561376782647</v>
      </c>
      <c r="BB36" s="61">
        <f>$L$20*Table53[[#This Row],[Locality''s Allocation Percentage ]]</f>
        <v>17112.998873872617</v>
      </c>
      <c r="BC36" s="61">
        <f>$L$21*Table53[[#This Row],[Locality''s Allocation Percentage ]]</f>
        <v>17112.998873872617</v>
      </c>
      <c r="BD36" s="61">
        <f>$L$22*Table53[[#This Row],[Locality''s Allocation Percentage ]]</f>
        <v>12351.504404217918</v>
      </c>
      <c r="BE36" s="61"/>
      <c r="BF36" s="61">
        <f t="shared" si="3"/>
        <v>0</v>
      </c>
      <c r="BG36" s="61">
        <f t="shared" si="3"/>
        <v>14833.951438096967</v>
      </c>
      <c r="BH36" s="61">
        <f t="shared" si="40"/>
        <v>17171.061939403542</v>
      </c>
      <c r="BI36" s="61">
        <f t="shared" si="41"/>
        <v>6686.6550533357467</v>
      </c>
      <c r="BJ36" s="61">
        <f t="shared" si="42"/>
        <v>7336.3160947737042</v>
      </c>
      <c r="BK36" s="61">
        <f t="shared" si="43"/>
        <v>7815.7601480828971</v>
      </c>
      <c r="BL36" s="61">
        <f t="shared" si="44"/>
        <v>5882.4174573022356</v>
      </c>
      <c r="BM36" s="61">
        <f t="shared" si="45"/>
        <v>8365.8429279907723</v>
      </c>
      <c r="BN36" s="61">
        <f t="shared" si="46"/>
        <v>8416.0531242270517</v>
      </c>
      <c r="BO36" s="61">
        <f t="shared" si="47"/>
        <v>7827.0914107143108</v>
      </c>
      <c r="BP36" s="61">
        <f t="shared" si="48"/>
        <v>7240.2706985227087</v>
      </c>
      <c r="BQ36" s="61">
        <f t="shared" si="49"/>
        <v>6629.8545592228129</v>
      </c>
      <c r="BR36" s="61">
        <f t="shared" si="50"/>
        <v>5176.1403441956618</v>
      </c>
      <c r="BS36" s="61">
        <f t="shared" si="51"/>
        <v>5176.1403441956618</v>
      </c>
      <c r="BT36" s="61">
        <f t="shared" si="52"/>
        <v>5176.1403441956618</v>
      </c>
      <c r="BU36" s="61">
        <f t="shared" si="53"/>
        <v>4278.2497184681542</v>
      </c>
      <c r="BV36" s="61">
        <f t="shared" si="54"/>
        <v>4278.2497184681542</v>
      </c>
      <c r="BW36" s="61">
        <f t="shared" si="37"/>
        <v>3087.8761010544795</v>
      </c>
      <c r="BX36" s="61"/>
      <c r="BY36" s="61">
        <f>($C$6+$D$6+$E$6)*Table53[[#This Row],[Locality''s Allocation Percentage ]]</f>
        <v>163977.88706052303</v>
      </c>
      <c r="BZ36" s="61">
        <f>$L$6*Table53[[#This Row],[Locality''s Allocation Percentage ]]</f>
        <v>59335.805752387867</v>
      </c>
      <c r="CA36" s="61">
        <f t="shared" si="4"/>
        <v>14833.951438096967</v>
      </c>
      <c r="CB36" s="76">
        <f>($C$7+$D$7+$E$7)*Table53[[#This Row],[Locality''s Allocation Percentage ]]</f>
        <v>59136.802609242637</v>
      </c>
      <c r="CC36" s="76">
        <f>$L$7*Table53[[#This Row],[Locality''s Allocation Percentage ]]</f>
        <v>68684.247757614168</v>
      </c>
      <c r="CD36" s="76">
        <f t="shared" si="5"/>
        <v>17171.061939403542</v>
      </c>
    </row>
    <row r="37" spans="2:82" s="19" customFormat="1" ht="18" customHeight="1" x14ac:dyDescent="0.25">
      <c r="B37" s="48" t="s">
        <v>61</v>
      </c>
      <c r="C37" s="32">
        <f>SUM('[1]Dist - VA Totals'!E19,'[1]Dist - VA Totals'!E20)</f>
        <v>23772806.682994787</v>
      </c>
      <c r="D37" s="49">
        <v>0</v>
      </c>
      <c r="E37" s="50">
        <v>0</v>
      </c>
      <c r="F37" s="50">
        <f>3758792.87/0.55</f>
        <v>6834168.8545454545</v>
      </c>
      <c r="G37" s="50">
        <f>3821405.29/0.55</f>
        <v>6948009.6181818172</v>
      </c>
      <c r="H37" s="50">
        <v>0</v>
      </c>
      <c r="I37" s="50">
        <f>3386259.13/0.55</f>
        <v>6156834.7818181813</v>
      </c>
      <c r="J37" s="50">
        <v>0</v>
      </c>
      <c r="K37" s="194">
        <v>7182719.3272727262</v>
      </c>
      <c r="L37" s="51">
        <f t="shared" si="62"/>
        <v>50894539.264812969</v>
      </c>
      <c r="M37" s="35">
        <f>L23*1.25</f>
        <v>98411944.773576319</v>
      </c>
      <c r="P37" s="36" t="s">
        <v>246</v>
      </c>
      <c r="Q37" s="37">
        <v>9.4800948009480107E-3</v>
      </c>
      <c r="S37" s="22" t="s">
        <v>103</v>
      </c>
      <c r="T37" s="61">
        <f>($C$5+$D$5+$E$5+$F$5+$G$5+$H$5+$I$5+$J$5+$K$5)*Table53[[#This Row],[Locality''s Allocation Percentage ]]</f>
        <v>38548.99655954192</v>
      </c>
      <c r="U37" s="61">
        <f>($C$6+$D$6+$E$6+$F$6+$G$6+$H$6+$I$6+$J$6+$K$6)*Table53[[#This Row],[Locality''s Allocation Percentage ]]</f>
        <v>244036.16473057421</v>
      </c>
      <c r="V37" s="61">
        <f>($C$7+$D$7+$E$7+$F$7+$G$7+$H$7+$I$7+$J$7+$K$7)*Table53[[#This Row],[Locality''s Allocation Percentage ]]</f>
        <v>300959.03504606819</v>
      </c>
      <c r="W37" s="61">
        <f>($C$8+$D$8+$E$8+$F$8+$G$8+$H$8+$I$8+$J$8+$K$8)*Table53[[#This Row],[Locality''s Allocation Percentage ]]</f>
        <v>115417.12367672284</v>
      </c>
      <c r="X37" s="61">
        <f>($C$9+$D$9+$E$9+$F$9+$G$9+$H$9+$I$9+$J$9+$K$9)*Table53[[#This Row],[Locality''s Allocation Percentage ]]</f>
        <v>124023.15806118397</v>
      </c>
      <c r="Y37" s="61">
        <f>($C$10+$D$10+$E$10+$F$10+$G$10+$H$10+$I$10+$J$10+$K$10)*Table53[[#This Row],[Locality''s Allocation Percentage ]]</f>
        <v>131807.0249806151</v>
      </c>
      <c r="Z37" s="61">
        <f>($C$11+$D$11+$E$11+$F$11+$G$11+$H$11+$I$11+$J$11+$K$11)*Table53[[#This Row],[Locality''s Allocation Percentage ]]</f>
        <v>100418.83252975054</v>
      </c>
      <c r="AA37" s="61">
        <f>($C$12+$D$12+$E$12+$F$12+$G$12+$H$12+$I$12+$J$12+$K$12)*Table53[[#This Row],[Locality''s Allocation Percentage ]]</f>
        <v>140737.72528635504</v>
      </c>
      <c r="AB37" s="61">
        <f>($C$13+$D$13+$E$13+$F$13+$G$13+$H$13+$I$13+$J$13+$K$13)*Table53[[#This Row],[Locality''s Allocation Percentage ]]</f>
        <v>141378.07285937964</v>
      </c>
      <c r="AC37" s="61">
        <f>($C$14+$D$14+$E$14+$F$14+$G$14+$H$14+$I$14+$J$14+$K$14)*Table53[[#This Row],[Locality''s Allocation Percentage ]]</f>
        <v>132371.28869733651</v>
      </c>
      <c r="AD37" s="61">
        <f>($C$15+$D$15+$E$15+$F$15+$G$15+$H$15+$I$15+$J$15+$K$15)*Table53[[#This Row],[Locality''s Allocation Percentage ]]</f>
        <v>122841.36640524956</v>
      </c>
      <c r="AE37" s="61">
        <f>($C$16+$D$16+$E$16+$F$16+$G$16+$H$16+$I$16+$J$16+$K$16)*Table53[[#This Row],[Locality''s Allocation Percentage ]]</f>
        <v>112931.14234263274</v>
      </c>
      <c r="AF37" s="61">
        <f>($C$17+$D$17+$E$17+$F$17+$G$17+$H$17+$I$17+$J$17+$K$17)*Table53[[#This Row],[Locality''s Allocation Percentage ]]</f>
        <v>86182.966758927796</v>
      </c>
      <c r="AG37" s="61">
        <f>($C$18+$D$18+$E$18+$F$18+$G$18+$H$18+$I$18+$J$18+$K$18)*Table53[[#This Row],[Locality''s Allocation Percentage ]]</f>
        <v>86182.966758927796</v>
      </c>
      <c r="AH37" s="61">
        <f>($C$19+$D$19+$E$19+$F$19+$G$19+$H$19+$I$19+$J$19+$K$19)*Table53[[#This Row],[Locality''s Allocation Percentage ]]</f>
        <v>86182.966758927796</v>
      </c>
      <c r="AI37" s="61">
        <f>($C$20+$D$20+$E$20+$F$20+$G$20+$H$20+$I$20+$J$20+$K$20)*Table53[[#This Row],[Locality''s Allocation Percentage ]]</f>
        <v>71605.53881790294</v>
      </c>
      <c r="AJ37" s="61">
        <f>($C$21+$D$21+$E$21+$F$21+$G$21+$H$21+$I$21+$J$21+$K$21)*Table53[[#This Row],[Locality''s Allocation Percentage ]]</f>
        <v>71605.53881790294</v>
      </c>
      <c r="AK37" s="61">
        <f>($C$22+$D$22+$E$22+$F$22+$G$22+$H$22+$I$22+$J$22+$K$22)*Table53[[#This Row],[Locality''s Allocation Percentage ]]</f>
        <v>50132.265628080131</v>
      </c>
      <c r="AL37" s="61"/>
      <c r="AM37" s="61"/>
      <c r="AN37" s="61">
        <f>$L$6*Table53[[#This Row],[Locality''s Allocation Percentage ]]</f>
        <v>88305.092391308746</v>
      </c>
      <c r="AO37" s="61">
        <f>$L$7*Table53[[#This Row],[Locality''s Allocation Percentage ]]</f>
        <v>102217.68740065652</v>
      </c>
      <c r="AP37" s="61">
        <f>$L$8*Table53[[#This Row],[Locality''s Allocation Percentage ]]</f>
        <v>39805.017209182326</v>
      </c>
      <c r="AQ37" s="61">
        <f>$L$9*Table53[[#This Row],[Locality''s Allocation Percentage ]]</f>
        <v>43672.387176423668</v>
      </c>
      <c r="AR37" s="61">
        <f>$L$10*Table53[[#This Row],[Locality''s Allocation Percentage ]]</f>
        <v>46526.471713548402</v>
      </c>
      <c r="AS37" s="61">
        <f>$L$11*Table53[[#This Row],[Locality''s Allocation Percentage ]]</f>
        <v>35017.467814898067</v>
      </c>
      <c r="AT37" s="61">
        <f>$L$12*Table53[[#This Row],[Locality''s Allocation Percentage ]]</f>
        <v>49801.061825653058</v>
      </c>
      <c r="AU37" s="61">
        <f>$L$13*Table53[[#This Row],[Locality''s Allocation Percentage ]]</f>
        <v>50099.95831564987</v>
      </c>
      <c r="AV37" s="61">
        <f>$L$14*Table53[[#This Row],[Locality''s Allocation Percentage ]]</f>
        <v>46593.925634895844</v>
      </c>
      <c r="AW37" s="61">
        <f>$L$15*Table53[[#This Row],[Locality''s Allocation Percentage ]]</f>
        <v>43100.638129981322</v>
      </c>
      <c r="AX37" s="61">
        <f>$L$16*Table53[[#This Row],[Locality''s Allocation Percentage ]]</f>
        <v>39466.889307021818</v>
      </c>
      <c r="AY37" s="61">
        <f>$L$17*Table53[[#This Row],[Locality''s Allocation Percentage ]]</f>
        <v>30813.067794646693</v>
      </c>
      <c r="AZ37" s="61">
        <f>$L$18*Table53[[#This Row],[Locality''s Allocation Percentage ]]</f>
        <v>30813.067794646693</v>
      </c>
      <c r="BA37" s="61">
        <f>$L$19*Table53[[#This Row],[Locality''s Allocation Percentage ]]</f>
        <v>30813.067794646693</v>
      </c>
      <c r="BB37" s="61">
        <f>$L$20*Table53[[#This Row],[Locality''s Allocation Percentage ]]</f>
        <v>25468.010882937575</v>
      </c>
      <c r="BC37" s="61">
        <f>$L$21*Table53[[#This Row],[Locality''s Allocation Percentage ]]</f>
        <v>25468.010882937575</v>
      </c>
      <c r="BD37" s="61">
        <f>$L$22*Table53[[#This Row],[Locality''s Allocation Percentage ]]</f>
        <v>18381.830730296046</v>
      </c>
      <c r="BE37" s="61"/>
      <c r="BF37" s="61">
        <f t="shared" si="3"/>
        <v>0</v>
      </c>
      <c r="BG37" s="61">
        <f t="shared" si="3"/>
        <v>22076.273097827187</v>
      </c>
      <c r="BH37" s="61">
        <f t="shared" si="40"/>
        <v>25554.42185016413</v>
      </c>
      <c r="BI37" s="61">
        <f t="shared" si="41"/>
        <v>9951.2543022955815</v>
      </c>
      <c r="BJ37" s="61">
        <f t="shared" si="42"/>
        <v>10918.096794105917</v>
      </c>
      <c r="BK37" s="61">
        <f t="shared" si="43"/>
        <v>11631.617928387101</v>
      </c>
      <c r="BL37" s="61">
        <f t="shared" si="44"/>
        <v>8754.3669537245169</v>
      </c>
      <c r="BM37" s="61">
        <f t="shared" si="45"/>
        <v>12450.265456413264</v>
      </c>
      <c r="BN37" s="61">
        <f t="shared" si="46"/>
        <v>12524.989578912468</v>
      </c>
      <c r="BO37" s="61">
        <f t="shared" si="47"/>
        <v>11648.481408723961</v>
      </c>
      <c r="BP37" s="61">
        <f t="shared" si="48"/>
        <v>10775.15953249533</v>
      </c>
      <c r="BQ37" s="61">
        <f t="shared" si="49"/>
        <v>9866.7223267554546</v>
      </c>
      <c r="BR37" s="61">
        <f t="shared" si="50"/>
        <v>7703.2669486616733</v>
      </c>
      <c r="BS37" s="61">
        <f t="shared" si="51"/>
        <v>7703.2669486616733</v>
      </c>
      <c r="BT37" s="61">
        <f t="shared" si="52"/>
        <v>7703.2669486616733</v>
      </c>
      <c r="BU37" s="61">
        <f t="shared" si="53"/>
        <v>6367.0027207343937</v>
      </c>
      <c r="BV37" s="61">
        <f t="shared" si="54"/>
        <v>6367.0027207343937</v>
      </c>
      <c r="BW37" s="61">
        <f t="shared" si="37"/>
        <v>4595.4576825740114</v>
      </c>
      <c r="BX37" s="61"/>
      <c r="BY37" s="61">
        <f>($C$6+$D$6+$E$6)*Table53[[#This Row],[Locality''s Allocation Percentage ]]</f>
        <v>244036.16473057421</v>
      </c>
      <c r="BZ37" s="61">
        <f>$L$6*Table53[[#This Row],[Locality''s Allocation Percentage ]]</f>
        <v>88305.092391308746</v>
      </c>
      <c r="CA37" s="61">
        <f t="shared" si="4"/>
        <v>22076.273097827187</v>
      </c>
      <c r="CB37" s="76">
        <f>($C$7+$D$7+$E$7)*Table53[[#This Row],[Locality''s Allocation Percentage ]]</f>
        <v>88008.930727726838</v>
      </c>
      <c r="CC37" s="76">
        <f>$L$7*Table53[[#This Row],[Locality''s Allocation Percentage ]]</f>
        <v>102217.68740065652</v>
      </c>
      <c r="CD37" s="76">
        <f t="shared" si="5"/>
        <v>25554.42185016413</v>
      </c>
    </row>
    <row r="38" spans="2:82" s="19" customFormat="1" ht="18" customHeight="1" x14ac:dyDescent="0.25">
      <c r="B38" s="48" t="s">
        <v>63</v>
      </c>
      <c r="C38" s="32">
        <f>SUM('[1]Dist - VA Totals'!F19,'[1]Dist - VA Totals'!F20)</f>
        <v>23772806.682766777</v>
      </c>
      <c r="D38" s="32">
        <v>0</v>
      </c>
      <c r="E38" s="52">
        <v>0</v>
      </c>
      <c r="F38" s="50">
        <f t="shared" ref="F38:F48" si="63">3758792.87/0.55</f>
        <v>6834168.8545454545</v>
      </c>
      <c r="G38" s="50">
        <f t="shared" ref="G38:G42" si="64">3821405.29/0.55</f>
        <v>6948009.6181818172</v>
      </c>
      <c r="H38" s="52">
        <v>0</v>
      </c>
      <c r="I38" s="52">
        <f>6767152.61/0.55</f>
        <v>12303913.836363636</v>
      </c>
      <c r="J38" s="50">
        <f t="shared" ref="J38:J42" si="65">3289244.41/0.55</f>
        <v>5980444.3818181818</v>
      </c>
      <c r="K38" s="50">
        <v>0</v>
      </c>
      <c r="L38" s="51">
        <f t="shared" si="62"/>
        <v>55839343.373675868</v>
      </c>
      <c r="N38" s="35">
        <f>E35*0.55</f>
        <v>1918716.8385000001</v>
      </c>
      <c r="P38" s="36" t="s">
        <v>247</v>
      </c>
      <c r="Q38" s="37">
        <v>1.960019600196E-3</v>
      </c>
      <c r="S38" s="22" t="s">
        <v>104</v>
      </c>
      <c r="T38" s="61">
        <f>($C$5+$D$5+$E$5+$F$5+$G$5+$H$5+$I$5+$J$5+$K$5)*Table53[[#This Row],[Locality''s Allocation Percentage ]]</f>
        <v>7970.0457021837638</v>
      </c>
      <c r="U38" s="61">
        <f>($C$6+$D$6+$E$6+$F$6+$G$6+$H$6+$I$6+$J$6+$K$6)*Table53[[#This Row],[Locality''s Allocation Percentage ]]</f>
        <v>50454.734480160856</v>
      </c>
      <c r="V38" s="61">
        <f>($C$7+$D$7+$E$7+$F$7+$G$7+$H$7+$I$7+$J$7+$K$7)*Table53[[#This Row],[Locality''s Allocation Percentage ]]</f>
        <v>62223.597963111075</v>
      </c>
      <c r="W38" s="61">
        <f>($C$8+$D$8+$E$8+$F$8+$G$8+$H$8+$I$8+$J$8+$K$8)*Table53[[#This Row],[Locality''s Allocation Percentage ]]</f>
        <v>23862.612068183178</v>
      </c>
      <c r="X38" s="61">
        <f>($C$9+$D$9+$E$9+$F$9+$G$9+$H$9+$I$9+$J$9+$K$9)*Table53[[#This Row],[Locality''s Allocation Percentage ]]</f>
        <v>25641.918755265859</v>
      </c>
      <c r="Y38" s="61">
        <f>($C$10+$D$10+$E$10+$F$10+$G$10+$H$10+$I$10+$J$10+$K$10)*Table53[[#This Row],[Locality''s Allocation Percentage ]]</f>
        <v>27251.241451688318</v>
      </c>
      <c r="Z38" s="61">
        <f>($C$11+$D$11+$E$11+$F$11+$G$11+$H$11+$I$11+$J$11+$K$11)*Table53[[#This Row],[Locality''s Allocation Percentage ]]</f>
        <v>20761.699552564431</v>
      </c>
      <c r="AA38" s="61">
        <f>($C$12+$D$12+$E$12+$F$12+$G$12+$H$12+$I$12+$J$12+$K$12)*Table53[[#This Row],[Locality''s Allocation Percentage ]]</f>
        <v>29097.673160469996</v>
      </c>
      <c r="AB38" s="61">
        <f>($C$13+$D$13+$E$13+$F$13+$G$13+$H$13+$I$13+$J$13+$K$13)*Table53[[#This Row],[Locality''s Allocation Percentage ]]</f>
        <v>29230.065696664955</v>
      </c>
      <c r="AC38" s="61">
        <f>($C$14+$D$14+$E$14+$F$14+$G$14+$H$14+$I$14+$J$14+$K$14)*Table53[[#This Row],[Locality''s Allocation Percentage ]]</f>
        <v>27367.903570335366</v>
      </c>
      <c r="AD38" s="61">
        <f>($C$15+$D$15+$E$15+$F$15+$G$15+$H$15+$I$15+$J$15+$K$15)*Table53[[#This Row],[Locality''s Allocation Percentage ]]</f>
        <v>25397.582083785746</v>
      </c>
      <c r="AE38" s="61">
        <f>($C$16+$D$16+$E$16+$F$16+$G$16+$H$16+$I$16+$J$16+$K$16)*Table53[[#This Row],[Locality''s Allocation Percentage ]]</f>
        <v>23348.63280501687</v>
      </c>
      <c r="AF38" s="61">
        <f>($C$17+$D$17+$E$17+$F$17+$G$17+$H$17+$I$17+$J$17+$K$17)*Table53[[#This Row],[Locality''s Allocation Percentage ]]</f>
        <v>17818.419287710793</v>
      </c>
      <c r="AG38" s="61">
        <f>($C$18+$D$18+$E$18+$F$18+$G$18+$H$18+$I$18+$J$18+$K$18)*Table53[[#This Row],[Locality''s Allocation Percentage ]]</f>
        <v>17818.419287710793</v>
      </c>
      <c r="AH38" s="61">
        <f>($C$19+$D$19+$E$19+$F$19+$G$19+$H$19+$I$19+$J$19+$K$19)*Table53[[#This Row],[Locality''s Allocation Percentage ]]</f>
        <v>17818.419287710793</v>
      </c>
      <c r="AI38" s="61">
        <f>($C$20+$D$20+$E$20+$F$20+$G$20+$H$20+$I$20+$J$20+$K$20)*Table53[[#This Row],[Locality''s Allocation Percentage ]]</f>
        <v>14804.520683870211</v>
      </c>
      <c r="AJ38" s="61">
        <f>($C$21+$D$21+$E$21+$F$21+$G$21+$H$21+$I$21+$J$21+$K$21)*Table53[[#This Row],[Locality''s Allocation Percentage ]]</f>
        <v>14804.520683870211</v>
      </c>
      <c r="AK38" s="61">
        <f>($C$22+$D$22+$E$22+$F$22+$G$22+$H$22+$I$22+$J$22+$K$22)*Table53[[#This Row],[Locality''s Allocation Percentage ]]</f>
        <v>10364.898800742294</v>
      </c>
      <c r="AL38" s="61"/>
      <c r="AM38" s="61"/>
      <c r="AN38" s="61">
        <f>$L$6*Table53[[#This Row],[Locality''s Allocation Percentage ]]</f>
        <v>18257.171000734699</v>
      </c>
      <c r="AO38" s="61">
        <f>$L$7*Table53[[#This Row],[Locality''s Allocation Percentage ]]</f>
        <v>21133.614694650478</v>
      </c>
      <c r="AP38" s="61">
        <f>$L$8*Table53[[#This Row],[Locality''s Allocation Percentage ]]</f>
        <v>8229.7292964132139</v>
      </c>
      <c r="AQ38" s="61">
        <f>$L$9*Table53[[#This Row],[Locality''s Allocation Percentage ]]</f>
        <v>9029.3121166445453</v>
      </c>
      <c r="AR38" s="61">
        <f>$L$10*Table53[[#This Row],[Locality''s Allocation Percentage ]]</f>
        <v>9619.3971053327823</v>
      </c>
      <c r="AS38" s="61">
        <f>$L$11*Table53[[#This Row],[Locality''s Allocation Percentage ]]</f>
        <v>7239.8984089873557</v>
      </c>
      <c r="AT38" s="61">
        <f>$L$12*Table53[[#This Row],[Locality''s Allocation Percentage ]]</f>
        <v>10296.422065219396</v>
      </c>
      <c r="AU38" s="61">
        <f>$L$13*Table53[[#This Row],[Locality''s Allocation Percentage ]]</f>
        <v>10358.219229817894</v>
      </c>
      <c r="AV38" s="61">
        <f>$L$14*Table53[[#This Row],[Locality''s Allocation Percentage ]]</f>
        <v>9633.34327472529</v>
      </c>
      <c r="AW38" s="61">
        <f>$L$15*Table53[[#This Row],[Locality''s Allocation Percentage ]]</f>
        <v>8911.1023981817816</v>
      </c>
      <c r="AX38" s="61">
        <f>$L$16*Table53[[#This Row],[Locality''s Allocation Percentage ]]</f>
        <v>8159.8209959665273</v>
      </c>
      <c r="AY38" s="61">
        <f>$L$17*Table53[[#This Row],[Locality''s Allocation Percentage ]]</f>
        <v>6370.634269779267</v>
      </c>
      <c r="AZ38" s="61">
        <f>$L$18*Table53[[#This Row],[Locality''s Allocation Percentage ]]</f>
        <v>6370.634269779267</v>
      </c>
      <c r="BA38" s="61">
        <f>$L$19*Table53[[#This Row],[Locality''s Allocation Percentage ]]</f>
        <v>6370.634269779267</v>
      </c>
      <c r="BB38" s="61">
        <f>$L$20*Table53[[#This Row],[Locality''s Allocation Percentage ]]</f>
        <v>5265.5381150377207</v>
      </c>
      <c r="BC38" s="61">
        <f>$L$21*Table53[[#This Row],[Locality''s Allocation Percentage ]]</f>
        <v>5265.5381150377207</v>
      </c>
      <c r="BD38" s="61">
        <f>$L$22*Table53[[#This Row],[Locality''s Allocation Percentage ]]</f>
        <v>3800.4628936055078</v>
      </c>
      <c r="BE38" s="61"/>
      <c r="BF38" s="61">
        <f t="shared" si="3"/>
        <v>0</v>
      </c>
      <c r="BG38" s="61">
        <f t="shared" si="3"/>
        <v>4564.2927501836748</v>
      </c>
      <c r="BH38" s="61">
        <f t="shared" si="40"/>
        <v>5283.4036736626194</v>
      </c>
      <c r="BI38" s="61">
        <f t="shared" si="41"/>
        <v>2057.4323241033035</v>
      </c>
      <c r="BJ38" s="61">
        <f t="shared" si="42"/>
        <v>2257.3280291611363</v>
      </c>
      <c r="BK38" s="61">
        <f t="shared" si="43"/>
        <v>2404.8492763331956</v>
      </c>
      <c r="BL38" s="61">
        <f t="shared" si="44"/>
        <v>1809.9746022468389</v>
      </c>
      <c r="BM38" s="61">
        <f t="shared" si="45"/>
        <v>2574.1055163048491</v>
      </c>
      <c r="BN38" s="61">
        <f t="shared" si="46"/>
        <v>2589.5548074544736</v>
      </c>
      <c r="BO38" s="61">
        <f t="shared" si="47"/>
        <v>2408.3358186813225</v>
      </c>
      <c r="BP38" s="61">
        <f t="shared" si="48"/>
        <v>2227.7755995454454</v>
      </c>
      <c r="BQ38" s="61">
        <f t="shared" si="49"/>
        <v>2039.9552489916318</v>
      </c>
      <c r="BR38" s="61">
        <f t="shared" si="50"/>
        <v>1592.6585674448168</v>
      </c>
      <c r="BS38" s="61">
        <f t="shared" si="51"/>
        <v>1592.6585674448168</v>
      </c>
      <c r="BT38" s="61">
        <f t="shared" si="52"/>
        <v>1592.6585674448168</v>
      </c>
      <c r="BU38" s="61">
        <f t="shared" si="53"/>
        <v>1316.3845287594302</v>
      </c>
      <c r="BV38" s="61">
        <f t="shared" si="54"/>
        <v>1316.3845287594302</v>
      </c>
      <c r="BW38" s="61">
        <f t="shared" si="37"/>
        <v>950.11572340137695</v>
      </c>
      <c r="BX38" s="61"/>
      <c r="BY38" s="61">
        <f>($C$6+$D$6+$E$6)*Table53[[#This Row],[Locality''s Allocation Percentage ]]</f>
        <v>50454.734480160856</v>
      </c>
      <c r="BZ38" s="61">
        <f>$L$6*Table53[[#This Row],[Locality''s Allocation Percentage ]]</f>
        <v>18257.171000734699</v>
      </c>
      <c r="CA38" s="61">
        <f t="shared" si="4"/>
        <v>4564.2927501836748</v>
      </c>
      <c r="CB38" s="76">
        <f>($C$7+$D$7+$E$7)*Table53[[#This Row],[Locality''s Allocation Percentage ]]</f>
        <v>18195.939264382323</v>
      </c>
      <c r="CC38" s="76">
        <f>$L$7*Table53[[#This Row],[Locality''s Allocation Percentage ]]</f>
        <v>21133.614694650478</v>
      </c>
      <c r="CD38" s="76">
        <f t="shared" si="5"/>
        <v>5283.4036736626194</v>
      </c>
    </row>
    <row r="39" spans="2:82" s="19" customFormat="1" ht="18" customHeight="1" x14ac:dyDescent="0.25">
      <c r="B39" s="48" t="s">
        <v>65</v>
      </c>
      <c r="C39" s="32">
        <f>SUM('[1]Dist - VA Totals'!G19,'[1]Dist - VA Totals'!G20,'[1]Dist - VA Totals'!G23)</f>
        <v>23772806.682538766</v>
      </c>
      <c r="D39" s="49">
        <f>SUM('[1]Jan - VA Totals'!G21,'[1]Jan - VA Totals'!G22)</f>
        <v>3649221.3226667857</v>
      </c>
      <c r="E39" s="50">
        <v>0</v>
      </c>
      <c r="F39" s="50">
        <f t="shared" si="63"/>
        <v>6834168.8545454545</v>
      </c>
      <c r="G39" s="50">
        <f t="shared" si="64"/>
        <v>6948009.6181818172</v>
      </c>
      <c r="H39" s="50">
        <v>0</v>
      </c>
      <c r="I39" s="52">
        <f t="shared" ref="I39:I41" si="66">6767152.61/0.55</f>
        <v>12303913.836363636</v>
      </c>
      <c r="J39" s="50">
        <f t="shared" si="65"/>
        <v>5980444.3818181818</v>
      </c>
      <c r="K39" s="50">
        <v>0</v>
      </c>
      <c r="L39" s="51">
        <f t="shared" si="62"/>
        <v>59488564.696114644</v>
      </c>
      <c r="M39" s="35"/>
      <c r="P39" s="36" t="s">
        <v>105</v>
      </c>
      <c r="Q39" s="37">
        <v>5.0000500005000002E-4</v>
      </c>
      <c r="S39" s="22" t="s">
        <v>105</v>
      </c>
      <c r="T39" s="61">
        <f>($C$5+$D$5+$E$5+$F$5+$G$5+$H$5+$I$5+$J$5+$K$5)*Table53[[#This Row],[Locality''s Allocation Percentage ]]</f>
        <v>2033.1749240264703</v>
      </c>
      <c r="U39" s="61">
        <f>($C$6+$D$6+$E$6+$F$6+$G$6+$H$6+$I$6+$J$6+$K$6)*Table53[[#This Row],[Locality''s Allocation Percentage ]]</f>
        <v>12871.105734734912</v>
      </c>
      <c r="V39" s="61">
        <f>($C$7+$D$7+$E$7+$F$7+$G$7+$H$7+$I$7+$J$7+$K$7)*Table53[[#This Row],[Locality''s Allocation Percentage ]]</f>
        <v>15873.366827324255</v>
      </c>
      <c r="W39" s="61">
        <f>($C$8+$D$8+$E$8+$F$8+$G$8+$H$8+$I$8+$J$8+$K$8)*Table53[[#This Row],[Locality''s Allocation Percentage ]]</f>
        <v>6087.4010378018311</v>
      </c>
      <c r="X39" s="61">
        <f>($C$9+$D$9+$E$9+$F$9+$G$9+$H$9+$I$9+$J$9+$K$9)*Table53[[#This Row],[Locality''s Allocation Percentage ]]</f>
        <v>6541.3058049147603</v>
      </c>
      <c r="Y39" s="61">
        <f>($C$10+$D$10+$E$10+$F$10+$G$10+$H$10+$I$10+$J$10+$K$10)*Table53[[#This Row],[Locality''s Allocation Percentage ]]</f>
        <v>6951.8473091041633</v>
      </c>
      <c r="Z39" s="61">
        <f>($C$11+$D$11+$E$11+$F$11+$G$11+$H$11+$I$11+$J$11+$K$11)*Table53[[#This Row],[Locality''s Allocation Percentage ]]</f>
        <v>5296.3519266746007</v>
      </c>
      <c r="AA39" s="61">
        <f>($C$12+$D$12+$E$12+$F$12+$G$12+$H$12+$I$12+$J$12+$K$12)*Table53[[#This Row],[Locality''s Allocation Percentage ]]</f>
        <v>7422.8758062423467</v>
      </c>
      <c r="AB39" s="61">
        <f>($C$13+$D$13+$E$13+$F$13+$G$13+$H$13+$I$13+$J$13+$K$13)*Table53[[#This Row],[Locality''s Allocation Percentage ]]</f>
        <v>7456.6494124145302</v>
      </c>
      <c r="AC39" s="61">
        <f>($C$14+$D$14+$E$14+$F$14+$G$14+$H$14+$I$14+$J$14+$K$14)*Table53[[#This Row],[Locality''s Allocation Percentage ]]</f>
        <v>6981.6080536569807</v>
      </c>
      <c r="AD39" s="61">
        <f>($C$15+$D$15+$E$15+$F$15+$G$15+$H$15+$I$15+$J$15+$K$15)*Table53[[#This Row],[Locality''s Allocation Percentage ]]</f>
        <v>6478.9750213739153</v>
      </c>
      <c r="AE39" s="61">
        <f>($C$16+$D$16+$E$16+$F$16+$G$16+$H$16+$I$16+$J$16+$K$16)*Table53[[#This Row],[Locality''s Allocation Percentage ]]</f>
        <v>5956.2838788308345</v>
      </c>
      <c r="AF39" s="61">
        <f>($C$17+$D$17+$E$17+$F$17+$G$17+$H$17+$I$17+$J$17+$K$17)*Table53[[#This Row],[Locality''s Allocation Percentage ]]</f>
        <v>4545.5151244160179</v>
      </c>
      <c r="AG39" s="61">
        <f>($C$18+$D$18+$E$18+$F$18+$G$18+$H$18+$I$18+$J$18+$K$18)*Table53[[#This Row],[Locality''s Allocation Percentage ]]</f>
        <v>4545.5151244160179</v>
      </c>
      <c r="AH39" s="61">
        <f>($C$19+$D$19+$E$19+$F$19+$G$19+$H$19+$I$19+$J$19+$K$19)*Table53[[#This Row],[Locality''s Allocation Percentage ]]</f>
        <v>4545.5151244160179</v>
      </c>
      <c r="AI39" s="61">
        <f>($C$20+$D$20+$E$20+$F$20+$G$20+$H$20+$I$20+$J$20+$K$20)*Table53[[#This Row],[Locality''s Allocation Percentage ]]</f>
        <v>3776.663439762809</v>
      </c>
      <c r="AJ39" s="61">
        <f>($C$21+$D$21+$E$21+$F$21+$G$21+$H$21+$I$21+$J$21+$K$21)*Table53[[#This Row],[Locality''s Allocation Percentage ]]</f>
        <v>3776.663439762809</v>
      </c>
      <c r="AK39" s="61">
        <f>($C$22+$D$22+$E$22+$F$22+$G$22+$H$22+$I$22+$J$22+$K$22)*Table53[[#This Row],[Locality''s Allocation Percentage ]]</f>
        <v>2644.1068369240547</v>
      </c>
      <c r="AL39" s="61"/>
      <c r="AM39" s="61"/>
      <c r="AN39" s="61">
        <f>$L$6*Table53[[#This Row],[Locality''s Allocation Percentage ]]</f>
        <v>4657.4415818200769</v>
      </c>
      <c r="AO39" s="61">
        <f>$L$7*Table53[[#This Row],[Locality''s Allocation Percentage ]]</f>
        <v>5391.2282384312448</v>
      </c>
      <c r="AP39" s="61">
        <f>$L$8*Table53[[#This Row],[Locality''s Allocation Percentage ]]</f>
        <v>2099.4207388809218</v>
      </c>
      <c r="AQ39" s="61">
        <f>$L$9*Table53[[#This Row],[Locality''s Allocation Percentage ]]</f>
        <v>2303.3959481236088</v>
      </c>
      <c r="AR39" s="61">
        <f>$L$10*Table53[[#This Row],[Locality''s Allocation Percentage ]]</f>
        <v>2453.9278329930567</v>
      </c>
      <c r="AS39" s="61">
        <f>$L$11*Table53[[#This Row],[Locality''s Allocation Percentage ]]</f>
        <v>1846.91285943555</v>
      </c>
      <c r="AT39" s="61">
        <f>$L$12*Table53[[#This Row],[Locality''s Allocation Percentage ]]</f>
        <v>2626.638281943724</v>
      </c>
      <c r="AU39" s="61">
        <f>$L$13*Table53[[#This Row],[Locality''s Allocation Percentage ]]</f>
        <v>2642.4028647494629</v>
      </c>
      <c r="AV39" s="61">
        <f>$L$14*Table53[[#This Row],[Locality''s Allocation Percentage ]]</f>
        <v>2457.4855292666557</v>
      </c>
      <c r="AW39" s="61">
        <f>$L$15*Table53[[#This Row],[Locality''s Allocation Percentage ]]</f>
        <v>2273.2404076994344</v>
      </c>
      <c r="AX39" s="61">
        <f>$L$16*Table53[[#This Row],[Locality''s Allocation Percentage ]]</f>
        <v>2081.5869887669714</v>
      </c>
      <c r="AY39" s="61">
        <f>$L$17*Table53[[#This Row],[Locality''s Allocation Percentage ]]</f>
        <v>1625.1618035151191</v>
      </c>
      <c r="AZ39" s="61">
        <f>$L$18*Table53[[#This Row],[Locality''s Allocation Percentage ]]</f>
        <v>1625.1618035151191</v>
      </c>
      <c r="BA39" s="61">
        <f>$L$19*Table53[[#This Row],[Locality''s Allocation Percentage ]]</f>
        <v>1625.1618035151191</v>
      </c>
      <c r="BB39" s="61">
        <f>$L$20*Table53[[#This Row],[Locality''s Allocation Percentage ]]</f>
        <v>1343.2495191422759</v>
      </c>
      <c r="BC39" s="61">
        <f>$L$21*Table53[[#This Row],[Locality''s Allocation Percentage ]]</f>
        <v>1343.2495191422759</v>
      </c>
      <c r="BD39" s="61">
        <f>$L$22*Table53[[#This Row],[Locality''s Allocation Percentage ]]</f>
        <v>969.50584020548672</v>
      </c>
      <c r="BE39" s="61"/>
      <c r="BF39" s="61">
        <f t="shared" si="3"/>
        <v>0</v>
      </c>
      <c r="BG39" s="61">
        <f t="shared" si="3"/>
        <v>1164.3603954550192</v>
      </c>
      <c r="BH39" s="61">
        <f t="shared" si="40"/>
        <v>1347.8070596078112</v>
      </c>
      <c r="BI39" s="61">
        <f t="shared" si="41"/>
        <v>524.85518472023045</v>
      </c>
      <c r="BJ39" s="61">
        <f t="shared" si="42"/>
        <v>575.84898703090221</v>
      </c>
      <c r="BK39" s="61">
        <f t="shared" si="43"/>
        <v>613.48195824826416</v>
      </c>
      <c r="BL39" s="61">
        <f t="shared" si="44"/>
        <v>461.7282148588875</v>
      </c>
      <c r="BM39" s="61">
        <f t="shared" si="45"/>
        <v>656.659570485931</v>
      </c>
      <c r="BN39" s="61">
        <f t="shared" si="46"/>
        <v>660.60071618736572</v>
      </c>
      <c r="BO39" s="61">
        <f t="shared" si="47"/>
        <v>614.37138231666393</v>
      </c>
      <c r="BP39" s="61">
        <f t="shared" si="48"/>
        <v>568.3101019248586</v>
      </c>
      <c r="BQ39" s="61">
        <f t="shared" si="49"/>
        <v>520.39674719174286</v>
      </c>
      <c r="BR39" s="61">
        <f t="shared" si="50"/>
        <v>406.29045087877978</v>
      </c>
      <c r="BS39" s="61">
        <f t="shared" si="51"/>
        <v>406.29045087877978</v>
      </c>
      <c r="BT39" s="61">
        <f t="shared" si="52"/>
        <v>406.29045087877978</v>
      </c>
      <c r="BU39" s="61">
        <f t="shared" si="53"/>
        <v>335.81237978556896</v>
      </c>
      <c r="BV39" s="61">
        <f t="shared" si="54"/>
        <v>335.81237978556896</v>
      </c>
      <c r="BW39" s="61">
        <f t="shared" si="37"/>
        <v>242.37646005137168</v>
      </c>
      <c r="BX39" s="61"/>
      <c r="BY39" s="61">
        <f>($C$6+$D$6+$E$6)*Table53[[#This Row],[Locality''s Allocation Percentage ]]</f>
        <v>12871.105734734912</v>
      </c>
      <c r="BZ39" s="61">
        <f>$L$6*Table53[[#This Row],[Locality''s Allocation Percentage ]]</f>
        <v>4657.4415818200769</v>
      </c>
      <c r="CA39" s="61">
        <f t="shared" si="4"/>
        <v>1164.3603954550192</v>
      </c>
      <c r="CB39" s="76">
        <f>($C$7+$D$7+$E$7)*Table53[[#This Row],[Locality''s Allocation Percentage ]]</f>
        <v>4641.8212409138578</v>
      </c>
      <c r="CC39" s="76">
        <f>$L$7*Table53[[#This Row],[Locality''s Allocation Percentage ]]</f>
        <v>5391.2282384312448</v>
      </c>
      <c r="CD39" s="76">
        <f t="shared" si="5"/>
        <v>1347.8070596078112</v>
      </c>
    </row>
    <row r="40" spans="2:82" s="19" customFormat="1" ht="18" customHeight="1" x14ac:dyDescent="0.25">
      <c r="B40" s="130" t="s">
        <v>66</v>
      </c>
      <c r="C40" s="128">
        <v>9057439.3499999996</v>
      </c>
      <c r="D40" s="49">
        <f>SUM('[1]Jan - VA Totals'!H21,'[1]Jan - VA Totals'!H22,'[1]Jan - VA Totals'!H25)</f>
        <v>3649221.2998656346</v>
      </c>
      <c r="E40" s="50">
        <v>0</v>
      </c>
      <c r="F40" s="50">
        <f t="shared" si="63"/>
        <v>6834168.8545454545</v>
      </c>
      <c r="G40" s="50">
        <f t="shared" si="64"/>
        <v>6948009.6181818172</v>
      </c>
      <c r="H40" s="50">
        <v>0</v>
      </c>
      <c r="I40" s="52">
        <f t="shared" si="66"/>
        <v>12303913.836363636</v>
      </c>
      <c r="J40" s="50">
        <f t="shared" si="65"/>
        <v>5980444.3818181818</v>
      </c>
      <c r="K40" s="50">
        <v>0</v>
      </c>
      <c r="L40" s="51">
        <f t="shared" si="62"/>
        <v>44773197.340774722</v>
      </c>
      <c r="M40" s="35">
        <v>9026282</v>
      </c>
      <c r="N40" s="53">
        <f>N31*0.15</f>
        <v>3689169.1890000002</v>
      </c>
      <c r="P40" s="36" t="s">
        <v>248</v>
      </c>
      <c r="Q40" s="37">
        <v>1.010010100101E-3</v>
      </c>
      <c r="S40" s="22" t="s">
        <v>106</v>
      </c>
      <c r="T40" s="61">
        <f>($C$5+$D$5+$E$5+$F$5+$G$5+$H$5+$I$5+$J$5+$K$5)*Table53[[#This Row],[Locality''s Allocation Percentage ]]</f>
        <v>4107.0133465334702</v>
      </c>
      <c r="U40" s="61">
        <f>($C$6+$D$6+$E$6+$F$6+$G$6+$H$6+$I$6+$J$6+$K$6)*Table53[[#This Row],[Locality''s Allocation Percentage ]]</f>
        <v>25999.633584164523</v>
      </c>
      <c r="V40" s="61">
        <f>($C$7+$D$7+$E$7+$F$7+$G$7+$H$7+$I$7+$J$7+$K$7)*Table53[[#This Row],[Locality''s Allocation Percentage ]]</f>
        <v>32064.20099119499</v>
      </c>
      <c r="W40" s="61">
        <f>($C$8+$D$8+$E$8+$F$8+$G$8+$H$8+$I$8+$J$8+$K$8)*Table53[[#This Row],[Locality''s Allocation Percentage ]]</f>
        <v>12296.550096359699</v>
      </c>
      <c r="X40" s="61">
        <f>($C$9+$D$9+$E$9+$F$9+$G$9+$H$9+$I$9+$J$9+$K$9)*Table53[[#This Row],[Locality''s Allocation Percentage ]]</f>
        <v>13213.437725927814</v>
      </c>
      <c r="Y40" s="61">
        <f>($C$10+$D$10+$E$10+$F$10+$G$10+$H$10+$I$10+$J$10+$K$10)*Table53[[#This Row],[Locality''s Allocation Percentage ]]</f>
        <v>14042.731564390409</v>
      </c>
      <c r="Z40" s="61">
        <f>($C$11+$D$11+$E$11+$F$11+$G$11+$H$11+$I$11+$J$11+$K$11)*Table53[[#This Row],[Locality''s Allocation Percentage ]]</f>
        <v>10698.630891882691</v>
      </c>
      <c r="AA40" s="61">
        <f>($C$12+$D$12+$E$12+$F$12+$G$12+$H$12+$I$12+$J$12+$K$12)*Table53[[#This Row],[Locality''s Allocation Percentage ]]</f>
        <v>14994.209128609538</v>
      </c>
      <c r="AB40" s="61">
        <f>($C$13+$D$13+$E$13+$F$13+$G$13+$H$13+$I$13+$J$13+$K$13)*Table53[[#This Row],[Locality''s Allocation Percentage ]]</f>
        <v>15062.431813077348</v>
      </c>
      <c r="AC40" s="61">
        <f>($C$14+$D$14+$E$14+$F$14+$G$14+$H$14+$I$14+$J$14+$K$14)*Table53[[#This Row],[Locality''s Allocation Percentage ]]</f>
        <v>14102.848268387101</v>
      </c>
      <c r="AD40" s="61">
        <f>($C$15+$D$15+$E$15+$F$15+$G$15+$H$15+$I$15+$J$15+$K$15)*Table53[[#This Row],[Locality''s Allocation Percentage ]]</f>
        <v>13087.529543175307</v>
      </c>
      <c r="AE40" s="61">
        <f>($C$16+$D$16+$E$16+$F$16+$G$16+$H$16+$I$16+$J$16+$K$16)*Table53[[#This Row],[Locality''s Allocation Percentage ]]</f>
        <v>12031.693435238285</v>
      </c>
      <c r="AF40" s="61">
        <f>($C$17+$D$17+$E$17+$F$17+$G$17+$H$17+$I$17+$J$17+$K$17)*Table53[[#This Row],[Locality''s Allocation Percentage ]]</f>
        <v>9181.9405513203565</v>
      </c>
      <c r="AG40" s="61">
        <f>($C$18+$D$18+$E$18+$F$18+$G$18+$H$18+$I$18+$J$18+$K$18)*Table53[[#This Row],[Locality''s Allocation Percentage ]]</f>
        <v>9181.9405513203565</v>
      </c>
      <c r="AH40" s="61">
        <f>($C$19+$D$19+$E$19+$F$19+$G$19+$H$19+$I$19+$J$19+$K$19)*Table53[[#This Row],[Locality''s Allocation Percentage ]]</f>
        <v>9181.9405513203565</v>
      </c>
      <c r="AI40" s="61">
        <f>($C$20+$D$20+$E$20+$F$20+$G$20+$H$20+$I$20+$J$20+$K$20)*Table53[[#This Row],[Locality''s Allocation Percentage ]]</f>
        <v>7628.8601483208731</v>
      </c>
      <c r="AJ40" s="61">
        <f>($C$21+$D$21+$E$21+$F$21+$G$21+$H$21+$I$21+$J$21+$K$21)*Table53[[#This Row],[Locality''s Allocation Percentage ]]</f>
        <v>7628.8601483208731</v>
      </c>
      <c r="AK40" s="61">
        <f>($C$22+$D$22+$E$22+$F$22+$G$22+$H$22+$I$22+$J$22+$K$22)*Table53[[#This Row],[Locality''s Allocation Percentage ]]</f>
        <v>5341.0958105865902</v>
      </c>
      <c r="AL40" s="61"/>
      <c r="AM40" s="61"/>
      <c r="AN40" s="61">
        <f>$L$6*Table53[[#This Row],[Locality''s Allocation Percentage ]]</f>
        <v>9408.0319952765549</v>
      </c>
      <c r="AO40" s="61">
        <f>$L$7*Table53[[#This Row],[Locality''s Allocation Percentage ]]</f>
        <v>10890.281041631113</v>
      </c>
      <c r="AP40" s="61">
        <f>$L$8*Table53[[#This Row],[Locality''s Allocation Percentage ]]</f>
        <v>4240.829892539462</v>
      </c>
      <c r="AQ40" s="61">
        <f>$L$9*Table53[[#This Row],[Locality''s Allocation Percentage ]]</f>
        <v>4652.8598152096893</v>
      </c>
      <c r="AR40" s="61">
        <f>$L$10*Table53[[#This Row],[Locality''s Allocation Percentage ]]</f>
        <v>4956.9342226459739</v>
      </c>
      <c r="AS40" s="61">
        <f>$L$11*Table53[[#This Row],[Locality''s Allocation Percentage ]]</f>
        <v>3730.7639760598104</v>
      </c>
      <c r="AT40" s="61">
        <f>$L$12*Table53[[#This Row],[Locality''s Allocation Percentage ]]</f>
        <v>5305.8093295263216</v>
      </c>
      <c r="AU40" s="61">
        <f>$L$13*Table53[[#This Row],[Locality''s Allocation Percentage ]]</f>
        <v>5337.6537867939151</v>
      </c>
      <c r="AV40" s="61">
        <f>$L$14*Table53[[#This Row],[Locality''s Allocation Percentage ]]</f>
        <v>4964.1207691186446</v>
      </c>
      <c r="AW40" s="61">
        <f>$L$15*Table53[[#This Row],[Locality''s Allocation Percentage ]]</f>
        <v>4591.9456235528569</v>
      </c>
      <c r="AX40" s="61">
        <f>$L$16*Table53[[#This Row],[Locality''s Allocation Percentage ]]</f>
        <v>4204.8057173092811</v>
      </c>
      <c r="AY40" s="61">
        <f>$L$17*Table53[[#This Row],[Locality''s Allocation Percentage ]]</f>
        <v>3282.8268431005404</v>
      </c>
      <c r="AZ40" s="61">
        <f>$L$18*Table53[[#This Row],[Locality''s Allocation Percentage ]]</f>
        <v>3282.8268431005404</v>
      </c>
      <c r="BA40" s="61">
        <f>$L$19*Table53[[#This Row],[Locality''s Allocation Percentage ]]</f>
        <v>3282.8268431005404</v>
      </c>
      <c r="BB40" s="61">
        <f>$L$20*Table53[[#This Row],[Locality''s Allocation Percentage ]]</f>
        <v>2713.3640286673967</v>
      </c>
      <c r="BC40" s="61">
        <f>$L$21*Table53[[#This Row],[Locality''s Allocation Percentage ]]</f>
        <v>2713.3640286673967</v>
      </c>
      <c r="BD40" s="61">
        <f>$L$22*Table53[[#This Row],[Locality''s Allocation Percentage ]]</f>
        <v>1958.401797215083</v>
      </c>
      <c r="BE40" s="61"/>
      <c r="BF40" s="61">
        <f t="shared" si="3"/>
        <v>0</v>
      </c>
      <c r="BG40" s="61">
        <f t="shared" si="3"/>
        <v>2352.0079988191387</v>
      </c>
      <c r="BH40" s="61">
        <f t="shared" si="40"/>
        <v>2722.5702604077783</v>
      </c>
      <c r="BI40" s="61">
        <f t="shared" si="41"/>
        <v>1060.2074731348655</v>
      </c>
      <c r="BJ40" s="61">
        <f t="shared" si="42"/>
        <v>1163.2149538024223</v>
      </c>
      <c r="BK40" s="61">
        <f t="shared" si="43"/>
        <v>1239.2335556614935</v>
      </c>
      <c r="BL40" s="61">
        <f t="shared" si="44"/>
        <v>932.69099401495259</v>
      </c>
      <c r="BM40" s="61">
        <f t="shared" si="45"/>
        <v>1326.4523323815804</v>
      </c>
      <c r="BN40" s="61">
        <f t="shared" si="46"/>
        <v>1334.4134466984788</v>
      </c>
      <c r="BO40" s="61">
        <f t="shared" si="47"/>
        <v>1241.0301922796612</v>
      </c>
      <c r="BP40" s="61">
        <f t="shared" si="48"/>
        <v>1147.9864058882142</v>
      </c>
      <c r="BQ40" s="61">
        <f t="shared" si="49"/>
        <v>1051.2014293273203</v>
      </c>
      <c r="BR40" s="61">
        <f t="shared" si="50"/>
        <v>820.70671077513509</v>
      </c>
      <c r="BS40" s="61">
        <f t="shared" si="51"/>
        <v>820.70671077513509</v>
      </c>
      <c r="BT40" s="61">
        <f t="shared" si="52"/>
        <v>820.70671077513509</v>
      </c>
      <c r="BU40" s="61">
        <f t="shared" si="53"/>
        <v>678.34100716684918</v>
      </c>
      <c r="BV40" s="61">
        <f t="shared" si="54"/>
        <v>678.34100716684918</v>
      </c>
      <c r="BW40" s="61">
        <f t="shared" si="37"/>
        <v>489.60044930377074</v>
      </c>
      <c r="BX40" s="61"/>
      <c r="BY40" s="61">
        <f>($C$6+$D$6+$E$6)*Table53[[#This Row],[Locality''s Allocation Percentage ]]</f>
        <v>25999.633584164523</v>
      </c>
      <c r="BZ40" s="61">
        <f>$L$6*Table53[[#This Row],[Locality''s Allocation Percentage ]]</f>
        <v>9408.0319952765549</v>
      </c>
      <c r="CA40" s="61">
        <f t="shared" si="4"/>
        <v>2352.0079988191387</v>
      </c>
      <c r="CB40" s="76">
        <f>($C$7+$D$7+$E$7)*Table53[[#This Row],[Locality''s Allocation Percentage ]]</f>
        <v>9376.4789066459925</v>
      </c>
      <c r="CC40" s="76">
        <f>$L$7*Table53[[#This Row],[Locality''s Allocation Percentage ]]</f>
        <v>10890.281041631113</v>
      </c>
      <c r="CD40" s="76">
        <f t="shared" si="5"/>
        <v>2722.5702604077783</v>
      </c>
    </row>
    <row r="41" spans="2:82" s="19" customFormat="1" ht="18" customHeight="1" x14ac:dyDescent="0.25">
      <c r="B41" s="48" t="s">
        <v>68</v>
      </c>
      <c r="C41" s="32">
        <f>SUM('[1]Dist - VA Totals'!I19,'[1]Dist - VA Totals'!I20,'[1]Dist - VA Totals'!I23)</f>
        <v>27959684.856304102</v>
      </c>
      <c r="D41" s="49">
        <f>SUM('[1]Jan - VA Totals'!I21,'[1]Jan - VA Totals'!I22,'[1]Jan - VA Totals'!I25)</f>
        <v>3649221.2542633326</v>
      </c>
      <c r="E41" s="50">
        <v>0</v>
      </c>
      <c r="F41" s="50">
        <f t="shared" si="63"/>
        <v>6834168.8545454545</v>
      </c>
      <c r="G41" s="50">
        <f t="shared" si="64"/>
        <v>6948009.6181818172</v>
      </c>
      <c r="H41" s="50">
        <v>0</v>
      </c>
      <c r="I41" s="52">
        <f t="shared" si="66"/>
        <v>12303913.836363636</v>
      </c>
      <c r="J41" s="50">
        <f t="shared" si="65"/>
        <v>5980444.3818181818</v>
      </c>
      <c r="K41" s="50">
        <v>0</v>
      </c>
      <c r="L41" s="51">
        <f t="shared" si="62"/>
        <v>63675442.801476523</v>
      </c>
      <c r="M41" s="35">
        <f>E35*0.0825</f>
        <v>287807.52577499999</v>
      </c>
      <c r="P41" s="83" t="s">
        <v>249</v>
      </c>
      <c r="Q41" s="37">
        <v>8.6720867208672101E-2</v>
      </c>
      <c r="S41" s="22" t="s">
        <v>36</v>
      </c>
      <c r="T41" s="61">
        <f>($C$5+$D$5+$E$5+$F$5+$G$5+$H$5+$I$5+$J$5+$K$5)*Table53[[#This Row],[Locality''s Allocation Percentage ]]</f>
        <v>352633.85882315144</v>
      </c>
      <c r="U41" s="61">
        <f>($C$6+$D$6+$E$6+$F$6+$G$6+$H$6+$I$6+$J$6+$K$6)*Table53[[#This Row],[Locality''s Allocation Percentage ]]</f>
        <v>2232364.578632426</v>
      </c>
      <c r="V41" s="61">
        <f>($C$7+$D$7+$E$7+$F$7+$G$7+$H$7+$I$7+$J$7+$K$7)*Table53[[#This Row],[Locality''s Allocation Percentage ]]</f>
        <v>2753076.7425311217</v>
      </c>
      <c r="W41" s="61">
        <f>($C$8+$D$8+$E$8+$F$8+$G$8+$H$8+$I$8+$J$8+$K$8)*Table53[[#This Row],[Locality''s Allocation Percentage ]]</f>
        <v>1055798.8359963507</v>
      </c>
      <c r="X41" s="61">
        <f>($C$9+$D$9+$E$9+$F$9+$G$9+$H$9+$I$9+$J$9+$K$9)*Table53[[#This Row],[Locality''s Allocation Percentage ]]</f>
        <v>1134524.0788044173</v>
      </c>
      <c r="Y41" s="61">
        <f>($C$10+$D$10+$E$10+$F$10+$G$10+$H$10+$I$10+$J$10+$K$10)*Table53[[#This Row],[Locality''s Allocation Percentage ]]</f>
        <v>1205728.3972910275</v>
      </c>
      <c r="Z41" s="61">
        <f>($C$11+$D$11+$E$11+$F$11+$G$11+$H$11+$I$11+$J$11+$K$11)*Table53[[#This Row],[Locality''s Allocation Percentage ]]</f>
        <v>918599.27816244366</v>
      </c>
      <c r="AA41" s="61">
        <f>($C$12+$D$12+$E$12+$F$12+$G$12+$H$12+$I$12+$J$12+$K$12)*Table53[[#This Row],[Locality''s Allocation Percentage ]]</f>
        <v>1287423.579834674</v>
      </c>
      <c r="AB41" s="61">
        <f>($C$13+$D$13+$E$13+$F$13+$G$13+$H$13+$I$13+$J$13+$K$13)*Table53[[#This Row],[Locality''s Allocation Percentage ]]</f>
        <v>1293281.2740891776</v>
      </c>
      <c r="AC41" s="61">
        <f>($C$14+$D$14+$E$14+$F$14+$G$14+$H$14+$I$14+$J$14+$K$14)*Table53[[#This Row],[Locality''s Allocation Percentage ]]</f>
        <v>1210890.1008262681</v>
      </c>
      <c r="AD41" s="61">
        <f>($C$15+$D$15+$E$15+$F$15+$G$15+$H$15+$I$15+$J$15+$K$15)*Table53[[#This Row],[Locality''s Allocation Percentage ]]</f>
        <v>1123713.4277070931</v>
      </c>
      <c r="AE41" s="61">
        <f>($C$16+$D$16+$E$16+$F$16+$G$16+$H$16+$I$16+$J$16+$K$16)*Table53[[#This Row],[Locality''s Allocation Percentage ]]</f>
        <v>1033057.875944421</v>
      </c>
      <c r="AF41" s="61">
        <f>($C$17+$D$17+$E$17+$F$17+$G$17+$H$17+$I$17+$J$17+$K$17)*Table53[[#This Row],[Locality''s Allocation Percentage ]]</f>
        <v>788374.14317871514</v>
      </c>
      <c r="AG41" s="61">
        <f>($C$18+$D$18+$E$18+$F$18+$G$18+$H$18+$I$18+$J$18+$K$18)*Table53[[#This Row],[Locality''s Allocation Percentage ]]</f>
        <v>788374.14317871514</v>
      </c>
      <c r="AH41" s="61">
        <f>($C$19+$D$19+$E$19+$F$19+$G$19+$H$19+$I$19+$J$19+$K$19)*Table53[[#This Row],[Locality''s Allocation Percentage ]]</f>
        <v>788374.14317871514</v>
      </c>
      <c r="AI41" s="61">
        <f>($C$20+$D$20+$E$20+$F$20+$G$20+$H$20+$I$20+$J$20+$K$20)*Table53[[#This Row],[Locality''s Allocation Percentage ]]</f>
        <v>655024.50699246232</v>
      </c>
      <c r="AJ41" s="61">
        <f>($C$21+$D$21+$E$21+$F$21+$G$21+$H$21+$I$21+$J$21+$K$21)*Table53[[#This Row],[Locality''s Allocation Percentage ]]</f>
        <v>655024.50699246232</v>
      </c>
      <c r="AK41" s="61">
        <f>($C$22+$D$22+$E$22+$F$22+$G$22+$H$22+$I$22+$J$22+$K$22)*Table53[[#This Row],[Locality''s Allocation Percentage ]]</f>
        <v>458593.88979610859</v>
      </c>
      <c r="AL41" s="61"/>
      <c r="AM41" s="61"/>
      <c r="AN41" s="61">
        <f>$L$6*Table53[[#This Row],[Locality''s Allocation Percentage ]]</f>
        <v>807786.66795087501</v>
      </c>
      <c r="AO41" s="61">
        <f>$L$7*Table53[[#This Row],[Locality''s Allocation Percentage ]]</f>
        <v>935054.62567351619</v>
      </c>
      <c r="AP41" s="61">
        <f>$L$8*Table53[[#This Row],[Locality''s Allocation Percentage ]]</f>
        <v>364123.53295150754</v>
      </c>
      <c r="AQ41" s="61">
        <f>$L$9*Table53[[#This Row],[Locality''s Allocation Percentage ]]</f>
        <v>399500.99324255914</v>
      </c>
      <c r="AR41" s="61">
        <f>$L$10*Table53[[#This Row],[Locality''s Allocation Percentage ]]</f>
        <v>425609.24335431622</v>
      </c>
      <c r="AS41" s="61">
        <f>$L$11*Table53[[#This Row],[Locality''s Allocation Percentage ]]</f>
        <v>320328.56634050212</v>
      </c>
      <c r="AT41" s="61">
        <f>$L$12*Table53[[#This Row],[Locality''s Allocation Percentage ]]</f>
        <v>455564.14362031996</v>
      </c>
      <c r="AU41" s="61">
        <f>$L$13*Table53[[#This Row],[Locality''s Allocation Percentage ]]</f>
        <v>458298.35286214738</v>
      </c>
      <c r="AV41" s="61">
        <f>$L$14*Table53[[#This Row],[Locality''s Allocation Percentage ]]</f>
        <v>426226.29019600927</v>
      </c>
      <c r="AW41" s="61">
        <f>$L$15*Table53[[#This Row],[Locality''s Allocation Percentage ]]</f>
        <v>394270.81631139031</v>
      </c>
      <c r="AX41" s="61">
        <f>$L$16*Table53[[#This Row],[Locality''s Allocation Percentage ]]</f>
        <v>361030.4473317439</v>
      </c>
      <c r="AY41" s="61">
        <f>$L$17*Table53[[#This Row],[Locality''s Allocation Percentage ]]</f>
        <v>281868.06320166256</v>
      </c>
      <c r="AZ41" s="61">
        <f>$L$18*Table53[[#This Row],[Locality''s Allocation Percentage ]]</f>
        <v>281868.06320166256</v>
      </c>
      <c r="BA41" s="61">
        <f>$L$19*Table53[[#This Row],[Locality''s Allocation Percentage ]]</f>
        <v>281868.06320166256</v>
      </c>
      <c r="BB41" s="61">
        <f>$L$20*Table53[[#This Row],[Locality''s Allocation Percentage ]]</f>
        <v>232973.19660003658</v>
      </c>
      <c r="BC41" s="61">
        <f>$L$21*Table53[[#This Row],[Locality''s Allocation Percentage ]]</f>
        <v>232973.19660003658</v>
      </c>
      <c r="BD41" s="61">
        <f>$L$22*Table53[[#This Row],[Locality''s Allocation Percentage ]]</f>
        <v>168151.09292523979</v>
      </c>
      <c r="BE41" s="61"/>
      <c r="BF41" s="61">
        <f t="shared" si="3"/>
        <v>0</v>
      </c>
      <c r="BG41" s="61">
        <f t="shared" si="3"/>
        <v>201946.66698771875</v>
      </c>
      <c r="BH41" s="61">
        <f t="shared" si="40"/>
        <v>233763.65641837905</v>
      </c>
      <c r="BI41" s="61">
        <f t="shared" si="41"/>
        <v>91030.883237876886</v>
      </c>
      <c r="BJ41" s="61">
        <f t="shared" si="42"/>
        <v>99875.248310639785</v>
      </c>
      <c r="BK41" s="61">
        <f t="shared" si="43"/>
        <v>106402.31083857905</v>
      </c>
      <c r="BL41" s="61">
        <f t="shared" si="44"/>
        <v>80082.14158512553</v>
      </c>
      <c r="BM41" s="61">
        <f t="shared" si="45"/>
        <v>113891.03590507999</v>
      </c>
      <c r="BN41" s="61">
        <f t="shared" si="46"/>
        <v>114574.58821553685</v>
      </c>
      <c r="BO41" s="61">
        <f t="shared" si="47"/>
        <v>106556.57254900232</v>
      </c>
      <c r="BP41" s="61">
        <f t="shared" si="48"/>
        <v>98567.704077847578</v>
      </c>
      <c r="BQ41" s="61">
        <f t="shared" si="49"/>
        <v>90257.611832935974</v>
      </c>
      <c r="BR41" s="61">
        <f t="shared" si="50"/>
        <v>70467.01580041564</v>
      </c>
      <c r="BS41" s="61">
        <f t="shared" si="51"/>
        <v>70467.01580041564</v>
      </c>
      <c r="BT41" s="61">
        <f t="shared" si="52"/>
        <v>70467.01580041564</v>
      </c>
      <c r="BU41" s="61">
        <f t="shared" si="53"/>
        <v>58243.299150009145</v>
      </c>
      <c r="BV41" s="61">
        <f t="shared" si="54"/>
        <v>58243.299150009145</v>
      </c>
      <c r="BW41" s="61">
        <f t="shared" si="37"/>
        <v>42037.773231309948</v>
      </c>
      <c r="BX41" s="61"/>
      <c r="BY41" s="61">
        <f>($C$6+$D$6+$E$6)*Table53[[#This Row],[Locality''s Allocation Percentage ]]</f>
        <v>2232364.578632426</v>
      </c>
      <c r="BZ41" s="61">
        <f>$L$6*Table53[[#This Row],[Locality''s Allocation Percentage ]]</f>
        <v>807786.66795087501</v>
      </c>
      <c r="CA41" s="61">
        <f t="shared" si="4"/>
        <v>201946.66698771875</v>
      </c>
      <c r="CB41" s="76">
        <f>($C$7+$D$7+$E$7)*Table53[[#This Row],[Locality''s Allocation Percentage ]]</f>
        <v>805077.47602410044</v>
      </c>
      <c r="CC41" s="76">
        <f>$L$7*Table53[[#This Row],[Locality''s Allocation Percentage ]]</f>
        <v>935054.62567351619</v>
      </c>
      <c r="CD41" s="76">
        <f t="shared" si="5"/>
        <v>233763.65641837905</v>
      </c>
    </row>
    <row r="42" spans="2:82" s="19" customFormat="1" ht="18" customHeight="1" x14ac:dyDescent="0.25">
      <c r="B42" s="48" t="s">
        <v>70</v>
      </c>
      <c r="C42" s="32">
        <f>SUM('[1]Dist - VA Totals'!J19,'[1]Dist - VA Totals'!J20,'[1]Dist - VA Totals'!J23)</f>
        <v>27959684.856304102</v>
      </c>
      <c r="D42" s="49">
        <f>SUM('[1]Jan - VA Totals'!J21,'[1]Jan - VA Totals'!J22,'[1]Jan - VA Totals'!J25)</f>
        <v>4646097.0278369375</v>
      </c>
      <c r="E42" s="50">
        <v>0</v>
      </c>
      <c r="F42" s="50">
        <f t="shared" si="63"/>
        <v>6834168.8545454545</v>
      </c>
      <c r="G42" s="50">
        <f t="shared" si="64"/>
        <v>6948009.6181818172</v>
      </c>
      <c r="H42" s="50">
        <v>0</v>
      </c>
      <c r="I42" s="50">
        <f>6429063.27/0.55</f>
        <v>11689205.945454543</v>
      </c>
      <c r="J42" s="50">
        <f t="shared" si="65"/>
        <v>5980444.3818181818</v>
      </c>
      <c r="K42" s="50">
        <v>0</v>
      </c>
      <c r="L42" s="51">
        <f t="shared" si="62"/>
        <v>64057610.68414104</v>
      </c>
      <c r="M42" s="35"/>
      <c r="N42" s="35">
        <f>N31*0.3</f>
        <v>7378338.3780000005</v>
      </c>
      <c r="P42" s="83" t="s">
        <v>107</v>
      </c>
      <c r="Q42" s="37">
        <v>2.6900269002689998E-3</v>
      </c>
      <c r="S42" s="22" t="s">
        <v>107</v>
      </c>
      <c r="T42" s="61">
        <f>($C$5+$D$5+$E$5+$F$5+$G$5+$H$5+$I$5+$J$5+$K$5)*Table53[[#This Row],[Locality''s Allocation Percentage ]]</f>
        <v>10938.481091262409</v>
      </c>
      <c r="U42" s="61">
        <f>($C$6+$D$6+$E$6+$F$6+$G$6+$H$6+$I$6+$J$6+$K$6)*Table53[[#This Row],[Locality''s Allocation Percentage ]]</f>
        <v>69246.548852873821</v>
      </c>
      <c r="V42" s="61">
        <f>($C$7+$D$7+$E$7+$F$7+$G$7+$H$7+$I$7+$J$7+$K$7)*Table53[[#This Row],[Locality''s Allocation Percentage ]]</f>
        <v>85398.713531004483</v>
      </c>
      <c r="W42" s="61">
        <f>($C$8+$D$8+$E$8+$F$8+$G$8+$H$8+$I$8+$J$8+$K$8)*Table53[[#This Row],[Locality''s Allocation Percentage ]]</f>
        <v>32750.217583373847</v>
      </c>
      <c r="X42" s="61">
        <f>($C$9+$D$9+$E$9+$F$9+$G$9+$H$9+$I$9+$J$9+$K$9)*Table53[[#This Row],[Locality''s Allocation Percentage ]]</f>
        <v>35192.225230441407</v>
      </c>
      <c r="Y42" s="61">
        <f>($C$10+$D$10+$E$10+$F$10+$G$10+$H$10+$I$10+$J$10+$K$10)*Table53[[#This Row],[Locality''s Allocation Percentage ]]</f>
        <v>37400.938522980396</v>
      </c>
      <c r="Z42" s="61">
        <f>($C$11+$D$11+$E$11+$F$11+$G$11+$H$11+$I$11+$J$11+$K$11)*Table53[[#This Row],[Locality''s Allocation Percentage ]]</f>
        <v>28494.373365509346</v>
      </c>
      <c r="AA42" s="61">
        <f>($C$12+$D$12+$E$12+$F$12+$G$12+$H$12+$I$12+$J$12+$K$12)*Table53[[#This Row],[Locality''s Allocation Percentage ]]</f>
        <v>39935.071837583819</v>
      </c>
      <c r="AB42" s="61">
        <f>($C$13+$D$13+$E$13+$F$13+$G$13+$H$13+$I$13+$J$13+$K$13)*Table53[[#This Row],[Locality''s Allocation Percentage ]]</f>
        <v>40116.77383879017</v>
      </c>
      <c r="AC42" s="61">
        <f>($C$14+$D$14+$E$14+$F$14+$G$14+$H$14+$I$14+$J$14+$K$14)*Table53[[#This Row],[Locality''s Allocation Percentage ]]</f>
        <v>37561.051328674555</v>
      </c>
      <c r="AD42" s="61">
        <f>($C$15+$D$15+$E$15+$F$15+$G$15+$H$15+$I$15+$J$15+$K$15)*Table53[[#This Row],[Locality''s Allocation Percentage ]]</f>
        <v>34856.885614991661</v>
      </c>
      <c r="AE42" s="61">
        <f>($C$16+$D$16+$E$16+$F$16+$G$16+$H$16+$I$16+$J$16+$K$16)*Table53[[#This Row],[Locality''s Allocation Percentage ]]</f>
        <v>32044.807268109886</v>
      </c>
      <c r="AF42" s="61">
        <f>($C$17+$D$17+$E$17+$F$17+$G$17+$H$17+$I$17+$J$17+$K$17)*Table53[[#This Row],[Locality''s Allocation Percentage ]]</f>
        <v>24454.871369358178</v>
      </c>
      <c r="AG42" s="61">
        <f>($C$18+$D$18+$E$18+$F$18+$G$18+$H$18+$I$18+$J$18+$K$18)*Table53[[#This Row],[Locality''s Allocation Percentage ]]</f>
        <v>24454.871369358178</v>
      </c>
      <c r="AH42" s="61">
        <f>($C$19+$D$19+$E$19+$F$19+$G$19+$H$19+$I$19+$J$19+$K$19)*Table53[[#This Row],[Locality''s Allocation Percentage ]]</f>
        <v>24454.871369358178</v>
      </c>
      <c r="AI42" s="61">
        <f>($C$20+$D$20+$E$20+$F$20+$G$20+$H$20+$I$20+$J$20+$K$20)*Table53[[#This Row],[Locality''s Allocation Percentage ]]</f>
        <v>20318.44930592391</v>
      </c>
      <c r="AJ42" s="61">
        <f>($C$21+$D$21+$E$21+$F$21+$G$21+$H$21+$I$21+$J$21+$K$21)*Table53[[#This Row],[Locality''s Allocation Percentage ]]</f>
        <v>20318.44930592391</v>
      </c>
      <c r="AK42" s="61">
        <f>($C$22+$D$22+$E$22+$F$22+$G$22+$H$22+$I$22+$J$22+$K$22)*Table53[[#This Row],[Locality''s Allocation Percentage ]]</f>
        <v>14225.294782651414</v>
      </c>
      <c r="AL42" s="61"/>
      <c r="AM42" s="61"/>
      <c r="AN42" s="61">
        <f>$L$6*Table53[[#This Row],[Locality''s Allocation Percentage ]]</f>
        <v>25057.035710192013</v>
      </c>
      <c r="AO42" s="61">
        <f>$L$7*Table53[[#This Row],[Locality''s Allocation Percentage ]]</f>
        <v>29004.807922760094</v>
      </c>
      <c r="AP42" s="61">
        <f>$L$8*Table53[[#This Row],[Locality''s Allocation Percentage ]]</f>
        <v>11294.883575179359</v>
      </c>
      <c r="AQ42" s="61">
        <f>$L$9*Table53[[#This Row],[Locality''s Allocation Percentage ]]</f>
        <v>12392.270200905014</v>
      </c>
      <c r="AR42" s="61">
        <f>$L$10*Table53[[#This Row],[Locality''s Allocation Percentage ]]</f>
        <v>13202.131741502644</v>
      </c>
      <c r="AS42" s="61">
        <f>$L$11*Table53[[#This Row],[Locality''s Allocation Percentage ]]</f>
        <v>9936.3911837632568</v>
      </c>
      <c r="AT42" s="61">
        <f>$L$12*Table53[[#This Row],[Locality''s Allocation Percentage ]]</f>
        <v>14131.313956857233</v>
      </c>
      <c r="AU42" s="61">
        <f>$L$13*Table53[[#This Row],[Locality''s Allocation Percentage ]]</f>
        <v>14216.127412352109</v>
      </c>
      <c r="AV42" s="61">
        <f>$L$14*Table53[[#This Row],[Locality''s Allocation Percentage ]]</f>
        <v>13221.272147454607</v>
      </c>
      <c r="AW42" s="61">
        <f>$L$15*Table53[[#This Row],[Locality''s Allocation Percentage ]]</f>
        <v>12230.033393422955</v>
      </c>
      <c r="AX42" s="61">
        <f>$L$16*Table53[[#This Row],[Locality''s Allocation Percentage ]]</f>
        <v>11198.937999566304</v>
      </c>
      <c r="AY42" s="61">
        <f>$L$17*Table53[[#This Row],[Locality''s Allocation Percentage ]]</f>
        <v>8743.3705029113407</v>
      </c>
      <c r="AZ42" s="61">
        <f>$L$18*Table53[[#This Row],[Locality''s Allocation Percentage ]]</f>
        <v>8743.3705029113407</v>
      </c>
      <c r="BA42" s="61">
        <f>$L$19*Table53[[#This Row],[Locality''s Allocation Percentage ]]</f>
        <v>8743.3705029113407</v>
      </c>
      <c r="BB42" s="61">
        <f>$L$20*Table53[[#This Row],[Locality''s Allocation Percentage ]]</f>
        <v>7226.6824129854431</v>
      </c>
      <c r="BC42" s="61">
        <f>$L$21*Table53[[#This Row],[Locality''s Allocation Percentage ]]</f>
        <v>7226.6824129854431</v>
      </c>
      <c r="BD42" s="61">
        <f>$L$22*Table53[[#This Row],[Locality''s Allocation Percentage ]]</f>
        <v>5215.9414203055176</v>
      </c>
      <c r="BE42" s="61"/>
      <c r="BF42" s="61">
        <f t="shared" si="3"/>
        <v>0</v>
      </c>
      <c r="BG42" s="61">
        <f t="shared" si="3"/>
        <v>6264.2589275480032</v>
      </c>
      <c r="BH42" s="61">
        <f t="shared" si="40"/>
        <v>7251.2019806900234</v>
      </c>
      <c r="BI42" s="61">
        <f t="shared" si="41"/>
        <v>2823.7208937948399</v>
      </c>
      <c r="BJ42" s="61">
        <f t="shared" si="42"/>
        <v>3098.0675502262534</v>
      </c>
      <c r="BK42" s="61">
        <f t="shared" si="43"/>
        <v>3300.5329353756611</v>
      </c>
      <c r="BL42" s="61">
        <f t="shared" si="44"/>
        <v>2484.0977959408142</v>
      </c>
      <c r="BM42" s="61">
        <f t="shared" si="45"/>
        <v>3532.8284892143083</v>
      </c>
      <c r="BN42" s="61">
        <f t="shared" si="46"/>
        <v>3554.0318530880272</v>
      </c>
      <c r="BO42" s="61">
        <f t="shared" si="47"/>
        <v>3305.3180368636517</v>
      </c>
      <c r="BP42" s="61">
        <f t="shared" si="48"/>
        <v>3057.5083483557387</v>
      </c>
      <c r="BQ42" s="61">
        <f t="shared" si="49"/>
        <v>2799.734499891576</v>
      </c>
      <c r="BR42" s="61">
        <f t="shared" si="50"/>
        <v>2185.8426257278352</v>
      </c>
      <c r="BS42" s="61">
        <f t="shared" si="51"/>
        <v>2185.8426257278352</v>
      </c>
      <c r="BT42" s="61">
        <f t="shared" si="52"/>
        <v>2185.8426257278352</v>
      </c>
      <c r="BU42" s="61">
        <f t="shared" si="53"/>
        <v>1806.6706032463608</v>
      </c>
      <c r="BV42" s="61">
        <f t="shared" si="54"/>
        <v>1806.6706032463608</v>
      </c>
      <c r="BW42" s="61">
        <f t="shared" si="37"/>
        <v>1303.9853550763794</v>
      </c>
      <c r="BX42" s="61"/>
      <c r="BY42" s="61">
        <f>($C$6+$D$6+$E$6)*Table53[[#This Row],[Locality''s Allocation Percentage ]]</f>
        <v>69246.548852873821</v>
      </c>
      <c r="BZ42" s="61">
        <f>$L$6*Table53[[#This Row],[Locality''s Allocation Percentage ]]</f>
        <v>25057.035710192013</v>
      </c>
      <c r="CA42" s="61">
        <f t="shared" si="4"/>
        <v>6264.2589275480032</v>
      </c>
      <c r="CB42" s="76">
        <f>($C$7+$D$7+$E$7)*Table53[[#This Row],[Locality''s Allocation Percentage ]]</f>
        <v>24972.998276116552</v>
      </c>
      <c r="CC42" s="76">
        <f>$L$7*Table53[[#This Row],[Locality''s Allocation Percentage ]]</f>
        <v>29004.807922760094</v>
      </c>
      <c r="CD42" s="76">
        <f t="shared" si="5"/>
        <v>7251.2019806900234</v>
      </c>
    </row>
    <row r="43" spans="2:82" s="19" customFormat="1" ht="18" customHeight="1" x14ac:dyDescent="0.25">
      <c r="B43" s="48" t="s">
        <v>72</v>
      </c>
      <c r="C43" s="32">
        <f>SUM('[1]Dist - VA Totals'!K19,'[1]Dist - VA Totals'!K20,'[1]Dist - VA Totals'!K23)</f>
        <v>27959684.856304102</v>
      </c>
      <c r="D43" s="32">
        <f>SUM('[1]Jan - VA Totals'!K21,'[1]Jan - VA Totals'!K22,'[1]Jan - VA Totals'!K25)</f>
        <v>4646097.050638088</v>
      </c>
      <c r="E43" s="52">
        <v>0</v>
      </c>
      <c r="F43" s="50">
        <f t="shared" si="63"/>
        <v>6834168.8545454545</v>
      </c>
      <c r="G43" s="52">
        <v>0</v>
      </c>
      <c r="H43" s="52">
        <v>0</v>
      </c>
      <c r="I43" s="52">
        <f>6090973.92/0.55</f>
        <v>11074498.036363635</v>
      </c>
      <c r="J43" s="52">
        <f>4983199.22/0.55</f>
        <v>9060362.2181818169</v>
      </c>
      <c r="K43" s="50">
        <v>0</v>
      </c>
      <c r="L43" s="51">
        <f t="shared" si="62"/>
        <v>59574811.016033098</v>
      </c>
      <c r="M43" s="35"/>
      <c r="P43" s="36" t="s">
        <v>108</v>
      </c>
      <c r="Q43" s="37">
        <v>1.0200102001020001E-3</v>
      </c>
      <c r="S43" s="22" t="s">
        <v>108</v>
      </c>
      <c r="T43" s="61">
        <f>($C$5+$D$5+$E$5+$F$5+$G$5+$H$5+$I$5+$J$5+$K$5)*Table53[[#This Row],[Locality''s Allocation Percentage ]]</f>
        <v>4147.6768450139998</v>
      </c>
      <c r="U43" s="61">
        <f>($C$6+$D$6+$E$6+$F$6+$G$6+$H$6+$I$6+$J$6+$K$6)*Table53[[#This Row],[Locality''s Allocation Percentage ]]</f>
        <v>26257.055698859225</v>
      </c>
      <c r="V43" s="61">
        <f>($C$7+$D$7+$E$7+$F$7+$G$7+$H$7+$I$7+$J$7+$K$7)*Table53[[#This Row],[Locality''s Allocation Percentage ]]</f>
        <v>32381.668327741481</v>
      </c>
      <c r="W43" s="61">
        <f>($C$8+$D$8+$E$8+$F$8+$G$8+$H$8+$I$8+$J$8+$K$8)*Table53[[#This Row],[Locality''s Allocation Percentage ]]</f>
        <v>12418.298117115737</v>
      </c>
      <c r="X43" s="61">
        <f>($C$9+$D$9+$E$9+$F$9+$G$9+$H$9+$I$9+$J$9+$K$9)*Table53[[#This Row],[Locality''s Allocation Percentage ]]</f>
        <v>13344.26384202611</v>
      </c>
      <c r="Y43" s="61">
        <f>($C$10+$D$10+$E$10+$F$10+$G$10+$H$10+$I$10+$J$10+$K$10)*Table53[[#This Row],[Locality''s Allocation Percentage ]]</f>
        <v>14181.768510572494</v>
      </c>
      <c r="Z43" s="61">
        <f>($C$11+$D$11+$E$11+$F$11+$G$11+$H$11+$I$11+$J$11+$K$11)*Table53[[#This Row],[Locality''s Allocation Percentage ]]</f>
        <v>10804.557930416186</v>
      </c>
      <c r="AA43" s="61">
        <f>($C$12+$D$12+$E$12+$F$12+$G$12+$H$12+$I$12+$J$12+$K$12)*Table53[[#This Row],[Locality''s Allocation Percentage ]]</f>
        <v>15142.666644734387</v>
      </c>
      <c r="AB43" s="61">
        <f>($C$13+$D$13+$E$13+$F$13+$G$13+$H$13+$I$13+$J$13+$K$13)*Table53[[#This Row],[Locality''s Allocation Percentage ]]</f>
        <v>15211.564801325641</v>
      </c>
      <c r="AC43" s="61">
        <f>($C$14+$D$14+$E$14+$F$14+$G$14+$H$14+$I$14+$J$14+$K$14)*Table53[[#This Row],[Locality''s Allocation Percentage ]]</f>
        <v>14242.480429460242</v>
      </c>
      <c r="AD43" s="61">
        <f>($C$15+$D$15+$E$15+$F$15+$G$15+$H$15+$I$15+$J$15+$K$15)*Table53[[#This Row],[Locality''s Allocation Percentage ]]</f>
        <v>13217.109043602786</v>
      </c>
      <c r="AE43" s="61">
        <f>($C$16+$D$16+$E$16+$F$16+$G$16+$H$16+$I$16+$J$16+$K$16)*Table53[[#This Row],[Locality''s Allocation Percentage ]]</f>
        <v>12150.819112814903</v>
      </c>
      <c r="AF43" s="61">
        <f>($C$17+$D$17+$E$17+$F$17+$G$17+$H$17+$I$17+$J$17+$K$17)*Table53[[#This Row],[Locality''s Allocation Percentage ]]</f>
        <v>9272.8508538086771</v>
      </c>
      <c r="AG43" s="61">
        <f>($C$18+$D$18+$E$18+$F$18+$G$18+$H$18+$I$18+$J$18+$K$18)*Table53[[#This Row],[Locality''s Allocation Percentage ]]</f>
        <v>9272.8508538086771</v>
      </c>
      <c r="AH43" s="61">
        <f>($C$19+$D$19+$E$19+$F$19+$G$19+$H$19+$I$19+$J$19+$K$19)*Table53[[#This Row],[Locality''s Allocation Percentage ]]</f>
        <v>9272.8508538086771</v>
      </c>
      <c r="AI43" s="61">
        <f>($C$20+$D$20+$E$20+$F$20+$G$20+$H$20+$I$20+$J$20+$K$20)*Table53[[#This Row],[Locality''s Allocation Percentage ]]</f>
        <v>7704.3934171161309</v>
      </c>
      <c r="AJ43" s="61">
        <f>($C$21+$D$21+$E$21+$F$21+$G$21+$H$21+$I$21+$J$21+$K$21)*Table53[[#This Row],[Locality''s Allocation Percentage ]]</f>
        <v>7704.3934171161309</v>
      </c>
      <c r="AK43" s="61">
        <f>($C$22+$D$22+$E$22+$F$22+$G$22+$H$22+$I$22+$J$22+$K$22)*Table53[[#This Row],[Locality''s Allocation Percentage ]]</f>
        <v>5393.9779473250719</v>
      </c>
      <c r="AL43" s="61"/>
      <c r="AM43" s="61"/>
      <c r="AN43" s="61">
        <f>$L$6*Table53[[#This Row],[Locality''s Allocation Percentage ]]</f>
        <v>9501.1808269129579</v>
      </c>
      <c r="AO43" s="61">
        <f>$L$7*Table53[[#This Row],[Locality''s Allocation Percentage ]]</f>
        <v>10998.10560639974</v>
      </c>
      <c r="AP43" s="61">
        <f>$L$8*Table53[[#This Row],[Locality''s Allocation Percentage ]]</f>
        <v>4282.8183073170812</v>
      </c>
      <c r="AQ43" s="61">
        <f>$L$9*Table53[[#This Row],[Locality''s Allocation Percentage ]]</f>
        <v>4698.9277341721618</v>
      </c>
      <c r="AR43" s="61">
        <f>$L$10*Table53[[#This Row],[Locality''s Allocation Percentage ]]</f>
        <v>5006.0127793058364</v>
      </c>
      <c r="AS43" s="61">
        <f>$L$11*Table53[[#This Row],[Locality''s Allocation Percentage ]]</f>
        <v>3767.7022332485221</v>
      </c>
      <c r="AT43" s="61">
        <f>$L$12*Table53[[#This Row],[Locality''s Allocation Percentage ]]</f>
        <v>5358.342095165197</v>
      </c>
      <c r="AU43" s="61">
        <f>$L$13*Table53[[#This Row],[Locality''s Allocation Percentage ]]</f>
        <v>5390.5018440889044</v>
      </c>
      <c r="AV43" s="61">
        <f>$L$14*Table53[[#This Row],[Locality''s Allocation Percentage ]]</f>
        <v>5013.2704797039778</v>
      </c>
      <c r="AW43" s="61">
        <f>$L$15*Table53[[#This Row],[Locality''s Allocation Percentage ]]</f>
        <v>4637.4104317068459</v>
      </c>
      <c r="AX43" s="61">
        <f>$L$16*Table53[[#This Row],[Locality''s Allocation Percentage ]]</f>
        <v>4246.4374570846212</v>
      </c>
      <c r="AY43" s="61">
        <f>$L$17*Table53[[#This Row],[Locality''s Allocation Percentage ]]</f>
        <v>3315.330079170843</v>
      </c>
      <c r="AZ43" s="61">
        <f>$L$18*Table53[[#This Row],[Locality''s Allocation Percentage ]]</f>
        <v>3315.330079170843</v>
      </c>
      <c r="BA43" s="61">
        <f>$L$19*Table53[[#This Row],[Locality''s Allocation Percentage ]]</f>
        <v>3315.330079170843</v>
      </c>
      <c r="BB43" s="61">
        <f>$L$20*Table53[[#This Row],[Locality''s Allocation Percentage ]]</f>
        <v>2740.2290190502426</v>
      </c>
      <c r="BC43" s="61">
        <f>$L$21*Table53[[#This Row],[Locality''s Allocation Percentage ]]</f>
        <v>2740.2290190502426</v>
      </c>
      <c r="BD43" s="61">
        <f>$L$22*Table53[[#This Row],[Locality''s Allocation Percentage ]]</f>
        <v>1977.791914019193</v>
      </c>
      <c r="BE43" s="61"/>
      <c r="BF43" s="61">
        <f t="shared" si="3"/>
        <v>0</v>
      </c>
      <c r="BG43" s="61">
        <f t="shared" si="3"/>
        <v>2375.2952067282395</v>
      </c>
      <c r="BH43" s="61">
        <f t="shared" si="40"/>
        <v>2749.5264015999351</v>
      </c>
      <c r="BI43" s="61">
        <f t="shared" si="41"/>
        <v>1070.7045768292703</v>
      </c>
      <c r="BJ43" s="61">
        <f t="shared" si="42"/>
        <v>1174.7319335430404</v>
      </c>
      <c r="BK43" s="61">
        <f t="shared" si="43"/>
        <v>1251.5031948264591</v>
      </c>
      <c r="BL43" s="61">
        <f t="shared" si="44"/>
        <v>941.92555831213053</v>
      </c>
      <c r="BM43" s="61">
        <f t="shared" si="45"/>
        <v>1339.5855237912992</v>
      </c>
      <c r="BN43" s="61">
        <f t="shared" si="46"/>
        <v>1347.6254610222261</v>
      </c>
      <c r="BO43" s="61">
        <f t="shared" si="47"/>
        <v>1253.3176199259944</v>
      </c>
      <c r="BP43" s="61">
        <f t="shared" si="48"/>
        <v>1159.3526079267115</v>
      </c>
      <c r="BQ43" s="61">
        <f t="shared" si="49"/>
        <v>1061.6093642711553</v>
      </c>
      <c r="BR43" s="61">
        <f t="shared" si="50"/>
        <v>828.83251979271074</v>
      </c>
      <c r="BS43" s="61">
        <f t="shared" si="51"/>
        <v>828.83251979271074</v>
      </c>
      <c r="BT43" s="61">
        <f t="shared" si="52"/>
        <v>828.83251979271074</v>
      </c>
      <c r="BU43" s="61">
        <f t="shared" si="53"/>
        <v>685.05725476256066</v>
      </c>
      <c r="BV43" s="61">
        <f t="shared" si="54"/>
        <v>685.05725476256066</v>
      </c>
      <c r="BW43" s="61">
        <f t="shared" si="37"/>
        <v>494.44797850479824</v>
      </c>
      <c r="BX43" s="61"/>
      <c r="BY43" s="61">
        <f>($C$6+$D$6+$E$6)*Table53[[#This Row],[Locality''s Allocation Percentage ]]</f>
        <v>26257.055698859225</v>
      </c>
      <c r="BZ43" s="61">
        <f>$L$6*Table53[[#This Row],[Locality''s Allocation Percentage ]]</f>
        <v>9501.1808269129579</v>
      </c>
      <c r="CA43" s="61">
        <f t="shared" si="4"/>
        <v>2375.2952067282395</v>
      </c>
      <c r="CB43" s="76">
        <f>($C$7+$D$7+$E$7)*Table53[[#This Row],[Locality''s Allocation Percentage ]]</f>
        <v>9469.3153314642714</v>
      </c>
      <c r="CC43" s="76">
        <f>$L$7*Table53[[#This Row],[Locality''s Allocation Percentage ]]</f>
        <v>10998.10560639974</v>
      </c>
      <c r="CD43" s="76">
        <f t="shared" si="5"/>
        <v>2749.5264015999351</v>
      </c>
    </row>
    <row r="44" spans="2:82" s="19" customFormat="1" ht="18" customHeight="1" x14ac:dyDescent="0.25">
      <c r="B44" s="48" t="s">
        <v>74</v>
      </c>
      <c r="C44" s="32">
        <f>SUM('[1]Dist - VA Totals'!L19,'[1]Dist - VA Totals'!L20,'[1]Dist - VA Totals'!L23)</f>
        <v>23502936.852050558</v>
      </c>
      <c r="D44" s="32">
        <f>SUM('[1]Jan - VA Totals'!L21,'[1]Jan - VA Totals'!L22,'[1]Jan - VA Totals'!L25)</f>
        <v>4646097.0278369375</v>
      </c>
      <c r="E44" s="52">
        <v>0</v>
      </c>
      <c r="F44" s="50">
        <f t="shared" si="63"/>
        <v>6834168.8545454545</v>
      </c>
      <c r="G44" s="52">
        <v>0</v>
      </c>
      <c r="H44" s="52">
        <v>0</v>
      </c>
      <c r="I44" s="52">
        <f>6085608.28/0.55</f>
        <v>11064742.327272726</v>
      </c>
      <c r="J44" s="52">
        <f t="shared" ref="J44:J50" si="67">4983199.22/0.55</f>
        <v>9060362.2181818169</v>
      </c>
      <c r="K44" s="50">
        <v>0</v>
      </c>
      <c r="L44" s="51">
        <f t="shared" si="62"/>
        <v>55108307.279887497</v>
      </c>
      <c r="M44" s="35"/>
      <c r="N44" s="35">
        <f>E35*0.3</f>
        <v>1046572.8209999999</v>
      </c>
      <c r="P44" s="36" t="s">
        <v>250</v>
      </c>
      <c r="Q44" s="37">
        <v>1.2100121001209999E-2</v>
      </c>
      <c r="S44" s="22" t="s">
        <v>109</v>
      </c>
      <c r="T44" s="61">
        <f>($C$5+$D$5+$E$5+$F$5+$G$5+$H$5+$I$5+$J$5+$K$5)*Table53[[#This Row],[Locality''s Allocation Percentage ]]</f>
        <v>49202.833161440576</v>
      </c>
      <c r="U44" s="61">
        <f>($C$6+$D$6+$E$6+$F$6+$G$6+$H$6+$I$6+$J$6+$K$6)*Table53[[#This Row],[Locality''s Allocation Percentage ]]</f>
        <v>311480.75878058485</v>
      </c>
      <c r="V44" s="61">
        <f>($C$7+$D$7+$E$7+$F$7+$G$7+$H$7+$I$7+$J$7+$K$7)*Table53[[#This Row],[Locality''s Allocation Percentage ]]</f>
        <v>384135.47722124693</v>
      </c>
      <c r="W44" s="61">
        <f>($C$8+$D$8+$E$8+$F$8+$G$8+$H$8+$I$8+$J$8+$K$8)*Table53[[#This Row],[Locality''s Allocation Percentage ]]</f>
        <v>147315.10511480429</v>
      </c>
      <c r="X44" s="61">
        <f>($C$9+$D$9+$E$9+$F$9+$G$9+$H$9+$I$9+$J$9+$K$9)*Table53[[#This Row],[Locality''s Allocation Percentage ]]</f>
        <v>158299.60047893718</v>
      </c>
      <c r="Y44" s="61">
        <f>($C$10+$D$10+$E$10+$F$10+$G$10+$H$10+$I$10+$J$10+$K$10)*Table53[[#This Row],[Locality''s Allocation Percentage ]]</f>
        <v>168234.70488032073</v>
      </c>
      <c r="Z44" s="61">
        <f>($C$11+$D$11+$E$11+$F$11+$G$11+$H$11+$I$11+$J$11+$K$11)*Table53[[#This Row],[Locality''s Allocation Percentage ]]</f>
        <v>128171.71662552531</v>
      </c>
      <c r="AA44" s="61">
        <f>($C$12+$D$12+$E$12+$F$12+$G$12+$H$12+$I$12+$J$12+$K$12)*Table53[[#This Row],[Locality''s Allocation Percentage ]]</f>
        <v>179633.59451106476</v>
      </c>
      <c r="AB44" s="61">
        <f>($C$13+$D$13+$E$13+$F$13+$G$13+$H$13+$I$13+$J$13+$K$13)*Table53[[#This Row],[Locality''s Allocation Percentage ]]</f>
        <v>180450.91578043159</v>
      </c>
      <c r="AC44" s="61">
        <f>($C$14+$D$14+$E$14+$F$14+$G$14+$H$14+$I$14+$J$14+$K$14)*Table53[[#This Row],[Locality''s Allocation Percentage ]]</f>
        <v>168954.91489849892</v>
      </c>
      <c r="AD44" s="61">
        <f>($C$15+$D$15+$E$15+$F$15+$G$15+$H$15+$I$15+$J$15+$K$15)*Table53[[#This Row],[Locality''s Allocation Percentage ]]</f>
        <v>156791.19551724874</v>
      </c>
      <c r="AE44" s="61">
        <f>($C$16+$D$16+$E$16+$F$16+$G$16+$H$16+$I$16+$J$16+$K$16)*Table53[[#This Row],[Locality''s Allocation Percentage ]]</f>
        <v>144142.06986770619</v>
      </c>
      <c r="AF44" s="61">
        <f>($C$17+$D$17+$E$17+$F$17+$G$17+$H$17+$I$17+$J$17+$K$17)*Table53[[#This Row],[Locality''s Allocation Percentage ]]</f>
        <v>110001.46601086763</v>
      </c>
      <c r="AG44" s="61">
        <f>($C$18+$D$18+$E$18+$F$18+$G$18+$H$18+$I$18+$J$18+$K$18)*Table53[[#This Row],[Locality''s Allocation Percentage ]]</f>
        <v>110001.46601086763</v>
      </c>
      <c r="AH44" s="61">
        <f>($C$19+$D$19+$E$19+$F$19+$G$19+$H$19+$I$19+$J$19+$K$19)*Table53[[#This Row],[Locality''s Allocation Percentage ]]</f>
        <v>110001.46601086763</v>
      </c>
      <c r="AI44" s="61">
        <f>($C$20+$D$20+$E$20+$F$20+$G$20+$H$20+$I$20+$J$20+$K$20)*Table53[[#This Row],[Locality''s Allocation Percentage ]]</f>
        <v>91395.255242259969</v>
      </c>
      <c r="AJ44" s="61">
        <f>($C$21+$D$21+$E$21+$F$21+$G$21+$H$21+$I$21+$J$21+$K$21)*Table53[[#This Row],[Locality''s Allocation Percentage ]]</f>
        <v>91395.255242259969</v>
      </c>
      <c r="AK44" s="61">
        <f>($C$22+$D$22+$E$22+$F$22+$G$22+$H$22+$I$22+$J$22+$K$22)*Table53[[#This Row],[Locality''s Allocation Percentage ]]</f>
        <v>63987.385453562121</v>
      </c>
      <c r="AL44" s="61"/>
      <c r="AM44" s="61"/>
      <c r="AN44" s="61">
        <f>$L$6*Table53[[#This Row],[Locality''s Allocation Percentage ]]</f>
        <v>112710.08628004584</v>
      </c>
      <c r="AO44" s="61">
        <f>$L$7*Table53[[#This Row],[Locality''s Allocation Percentage ]]</f>
        <v>130467.72337003611</v>
      </c>
      <c r="AP44" s="61">
        <f>$L$8*Table53[[#This Row],[Locality''s Allocation Percentage ]]</f>
        <v>50805.981880918305</v>
      </c>
      <c r="AQ44" s="61">
        <f>$L$9*Table53[[#This Row],[Locality''s Allocation Percentage ]]</f>
        <v>55742.181944591321</v>
      </c>
      <c r="AR44" s="61">
        <f>$L$10*Table53[[#This Row],[Locality''s Allocation Percentage ]]</f>
        <v>59385.053558431966</v>
      </c>
      <c r="AS44" s="61">
        <f>$L$11*Table53[[#This Row],[Locality''s Allocation Percentage ]]</f>
        <v>44695.291198340303</v>
      </c>
      <c r="AT44" s="61">
        <f>$L$12*Table53[[#This Row],[Locality''s Allocation Percentage ]]</f>
        <v>63564.64642303811</v>
      </c>
      <c r="AU44" s="61">
        <f>$L$13*Table53[[#This Row],[Locality''s Allocation Percentage ]]</f>
        <v>63946.149326936997</v>
      </c>
      <c r="AV44" s="61">
        <f>$L$14*Table53[[#This Row],[Locality''s Allocation Percentage ]]</f>
        <v>59471.149808253067</v>
      </c>
      <c r="AW44" s="61">
        <f>$L$15*Table53[[#This Row],[Locality''s Allocation Percentage ]]</f>
        <v>55012.417866326301</v>
      </c>
      <c r="AX44" s="61">
        <f>$L$16*Table53[[#This Row],[Locality''s Allocation Percentage ]]</f>
        <v>50374.405128160695</v>
      </c>
      <c r="AY44" s="61">
        <f>$L$17*Table53[[#This Row],[Locality''s Allocation Percentage ]]</f>
        <v>39328.915645065877</v>
      </c>
      <c r="AZ44" s="61">
        <f>$L$18*Table53[[#This Row],[Locality''s Allocation Percentage ]]</f>
        <v>39328.915645065877</v>
      </c>
      <c r="BA44" s="61">
        <f>$L$19*Table53[[#This Row],[Locality''s Allocation Percentage ]]</f>
        <v>39328.915645065877</v>
      </c>
      <c r="BB44" s="61">
        <f>$L$20*Table53[[#This Row],[Locality''s Allocation Percentage ]]</f>
        <v>32506.63836324307</v>
      </c>
      <c r="BC44" s="61">
        <f>$L$21*Table53[[#This Row],[Locality''s Allocation Percentage ]]</f>
        <v>32506.63836324307</v>
      </c>
      <c r="BD44" s="61">
        <f>$L$22*Table53[[#This Row],[Locality''s Allocation Percentage ]]</f>
        <v>23462.041332972774</v>
      </c>
      <c r="BE44" s="61"/>
      <c r="BF44" s="61">
        <f t="shared" si="3"/>
        <v>0</v>
      </c>
      <c r="BG44" s="61">
        <f t="shared" si="3"/>
        <v>28177.52157001146</v>
      </c>
      <c r="BH44" s="61">
        <f t="shared" si="40"/>
        <v>32616.930842509028</v>
      </c>
      <c r="BI44" s="61">
        <f t="shared" si="41"/>
        <v>12701.495470229576</v>
      </c>
      <c r="BJ44" s="61">
        <f t="shared" si="42"/>
        <v>13935.54548614783</v>
      </c>
      <c r="BK44" s="61">
        <f t="shared" si="43"/>
        <v>14846.263389607991</v>
      </c>
      <c r="BL44" s="61">
        <f t="shared" si="44"/>
        <v>11173.822799585076</v>
      </c>
      <c r="BM44" s="61">
        <f t="shared" si="45"/>
        <v>15891.161605759527</v>
      </c>
      <c r="BN44" s="61">
        <f t="shared" si="46"/>
        <v>15986.537331734249</v>
      </c>
      <c r="BO44" s="61">
        <f t="shared" si="47"/>
        <v>14867.787452063267</v>
      </c>
      <c r="BP44" s="61">
        <f t="shared" si="48"/>
        <v>13753.104466581575</v>
      </c>
      <c r="BQ44" s="61">
        <f t="shared" si="49"/>
        <v>12593.601282040174</v>
      </c>
      <c r="BR44" s="61">
        <f t="shared" si="50"/>
        <v>9832.2289112664694</v>
      </c>
      <c r="BS44" s="61">
        <f t="shared" si="51"/>
        <v>9832.2289112664694</v>
      </c>
      <c r="BT44" s="61">
        <f t="shared" si="52"/>
        <v>9832.2289112664694</v>
      </c>
      <c r="BU44" s="61">
        <f t="shared" si="53"/>
        <v>8126.6595908107674</v>
      </c>
      <c r="BV44" s="61">
        <f t="shared" si="54"/>
        <v>8126.6595908107674</v>
      </c>
      <c r="BW44" s="61">
        <f t="shared" si="37"/>
        <v>5865.5103332431936</v>
      </c>
      <c r="BX44" s="61"/>
      <c r="BY44" s="61">
        <f>($C$6+$D$6+$E$6)*Table53[[#This Row],[Locality''s Allocation Percentage ]]</f>
        <v>311480.75878058485</v>
      </c>
      <c r="BZ44" s="61">
        <f>$L$6*Table53[[#This Row],[Locality''s Allocation Percentage ]]</f>
        <v>112710.08628004584</v>
      </c>
      <c r="CA44" s="61">
        <f t="shared" si="4"/>
        <v>28177.52157001146</v>
      </c>
      <c r="CB44" s="76">
        <f>($C$7+$D$7+$E$7)*Table53[[#This Row],[Locality''s Allocation Percentage ]]</f>
        <v>112332.07403011536</v>
      </c>
      <c r="CC44" s="76">
        <f>$L$7*Table53[[#This Row],[Locality''s Allocation Percentage ]]</f>
        <v>130467.72337003611</v>
      </c>
      <c r="CD44" s="76">
        <f t="shared" si="5"/>
        <v>32616.930842509028</v>
      </c>
    </row>
    <row r="45" spans="2:82" s="19" customFormat="1" ht="18" customHeight="1" x14ac:dyDescent="0.25">
      <c r="B45" s="48" t="s">
        <v>76</v>
      </c>
      <c r="C45" s="32">
        <f>SUM('[1]Dist - VA Totals'!M19,'[1]Dist - VA Totals'!M20,'[1]Dist - VA Totals'!M23)</f>
        <v>23502936.852050558</v>
      </c>
      <c r="D45" s="49">
        <v>0</v>
      </c>
      <c r="E45" s="50">
        <v>0</v>
      </c>
      <c r="F45" s="50">
        <f t="shared" si="63"/>
        <v>6834168.8545454545</v>
      </c>
      <c r="G45" s="50">
        <v>0</v>
      </c>
      <c r="H45" s="50">
        <v>0</v>
      </c>
      <c r="I45" s="52">
        <f>6085608.28/0.55</f>
        <v>11064742.327272726</v>
      </c>
      <c r="J45" s="52">
        <f t="shared" si="67"/>
        <v>9060362.2181818169</v>
      </c>
      <c r="K45" s="50">
        <v>0</v>
      </c>
      <c r="L45" s="51">
        <f t="shared" si="62"/>
        <v>50462210.252050556</v>
      </c>
      <c r="P45" s="36" t="s">
        <v>251</v>
      </c>
      <c r="Q45" s="37">
        <v>1.820018200182E-3</v>
      </c>
      <c r="S45" s="22" t="s">
        <v>110</v>
      </c>
      <c r="T45" s="61">
        <f>($C$5+$D$5+$E$5+$F$5+$G$5+$H$5+$I$5+$J$5+$K$5)*Table53[[#This Row],[Locality''s Allocation Percentage ]]</f>
        <v>7400.7567234563521</v>
      </c>
      <c r="U45" s="61">
        <f>($C$6+$D$6+$E$6+$F$6+$G$6+$H$6+$I$6+$J$6+$K$6)*Table53[[#This Row],[Locality''s Allocation Percentage ]]</f>
        <v>46850.824874435079</v>
      </c>
      <c r="V45" s="61">
        <f>($C$7+$D$7+$E$7+$F$7+$G$7+$H$7+$I$7+$J$7+$K$7)*Table53[[#This Row],[Locality''s Allocation Percentage ]]</f>
        <v>57779.055251460282</v>
      </c>
      <c r="W45" s="61">
        <f>($C$8+$D$8+$E$8+$F$8+$G$8+$H$8+$I$8+$J$8+$K$8)*Table53[[#This Row],[Locality''s Allocation Percentage ]]</f>
        <v>22158.139777598662</v>
      </c>
      <c r="X45" s="61">
        <f>($C$9+$D$9+$E$9+$F$9+$G$9+$H$9+$I$9+$J$9+$K$9)*Table53[[#This Row],[Locality''s Allocation Percentage ]]</f>
        <v>23810.353129889725</v>
      </c>
      <c r="Y45" s="61">
        <f>($C$10+$D$10+$E$10+$F$10+$G$10+$H$10+$I$10+$J$10+$K$10)*Table53[[#This Row],[Locality''s Allocation Percentage ]]</f>
        <v>25304.724205139155</v>
      </c>
      <c r="Z45" s="61">
        <f>($C$11+$D$11+$E$11+$F$11+$G$11+$H$11+$I$11+$J$11+$K$11)*Table53[[#This Row],[Locality''s Allocation Percentage ]]</f>
        <v>19278.721013095543</v>
      </c>
      <c r="AA45" s="61">
        <f>($C$12+$D$12+$E$12+$F$12+$G$12+$H$12+$I$12+$J$12+$K$12)*Table53[[#This Row],[Locality''s Allocation Percentage ]]</f>
        <v>27019.267934722138</v>
      </c>
      <c r="AB45" s="61">
        <f>($C$13+$D$13+$E$13+$F$13+$G$13+$H$13+$I$13+$J$13+$K$13)*Table53[[#This Row],[Locality''s Allocation Percentage ]]</f>
        <v>27142.203861188886</v>
      </c>
      <c r="AC45" s="61">
        <f>($C$14+$D$14+$E$14+$F$14+$G$14+$H$14+$I$14+$J$14+$K$14)*Table53[[#This Row],[Locality''s Allocation Percentage ]]</f>
        <v>25413.053315311408</v>
      </c>
      <c r="AD45" s="61">
        <f>($C$15+$D$15+$E$15+$F$15+$G$15+$H$15+$I$15+$J$15+$K$15)*Table53[[#This Row],[Locality''s Allocation Percentage ]]</f>
        <v>23583.469077801048</v>
      </c>
      <c r="AE45" s="61">
        <f>($C$16+$D$16+$E$16+$F$16+$G$16+$H$16+$I$16+$J$16+$K$16)*Table53[[#This Row],[Locality''s Allocation Percentage ]]</f>
        <v>21680.873318944236</v>
      </c>
      <c r="AF45" s="61">
        <f>($C$17+$D$17+$E$17+$F$17+$G$17+$H$17+$I$17+$J$17+$K$17)*Table53[[#This Row],[Locality''s Allocation Percentage ]]</f>
        <v>16545.675052874307</v>
      </c>
      <c r="AG45" s="61">
        <f>($C$18+$D$18+$E$18+$F$18+$G$18+$H$18+$I$18+$J$18+$K$18)*Table53[[#This Row],[Locality''s Allocation Percentage ]]</f>
        <v>16545.675052874307</v>
      </c>
      <c r="AH45" s="61">
        <f>($C$19+$D$19+$E$19+$F$19+$G$19+$H$19+$I$19+$J$19+$K$19)*Table53[[#This Row],[Locality''s Allocation Percentage ]]</f>
        <v>16545.675052874307</v>
      </c>
      <c r="AI45" s="61">
        <f>($C$20+$D$20+$E$20+$F$20+$G$20+$H$20+$I$20+$J$20+$K$20)*Table53[[#This Row],[Locality''s Allocation Percentage ]]</f>
        <v>13747.054920736624</v>
      </c>
      <c r="AJ45" s="61">
        <f>($C$21+$D$21+$E$21+$F$21+$G$21+$H$21+$I$21+$J$21+$K$21)*Table53[[#This Row],[Locality''s Allocation Percentage ]]</f>
        <v>13747.054920736624</v>
      </c>
      <c r="AK45" s="61">
        <f>($C$22+$D$22+$E$22+$F$22+$G$22+$H$22+$I$22+$J$22+$K$22)*Table53[[#This Row],[Locality''s Allocation Percentage ]]</f>
        <v>9624.5488864035578</v>
      </c>
      <c r="AL45" s="61"/>
      <c r="AM45" s="61"/>
      <c r="AN45" s="61">
        <f>$L$6*Table53[[#This Row],[Locality''s Allocation Percentage ]]</f>
        <v>16953.087357825079</v>
      </c>
      <c r="AO45" s="61">
        <f>$L$7*Table53[[#This Row],[Locality''s Allocation Percentage ]]</f>
        <v>19624.07078788973</v>
      </c>
      <c r="AP45" s="61">
        <f>$L$8*Table53[[#This Row],[Locality''s Allocation Percentage ]]</f>
        <v>7641.8914895265552</v>
      </c>
      <c r="AQ45" s="61">
        <f>$L$9*Table53[[#This Row],[Locality''s Allocation Percentage ]]</f>
        <v>8384.3612511699357</v>
      </c>
      <c r="AR45" s="61">
        <f>$L$10*Table53[[#This Row],[Locality''s Allocation Percentage ]]</f>
        <v>8932.2973120947263</v>
      </c>
      <c r="AS45" s="61">
        <f>$L$11*Table53[[#This Row],[Locality''s Allocation Percentage ]]</f>
        <v>6722.762808345401</v>
      </c>
      <c r="AT45" s="61">
        <f>$L$12*Table53[[#This Row],[Locality''s Allocation Percentage ]]</f>
        <v>9560.9633462751535</v>
      </c>
      <c r="AU45" s="61">
        <f>$L$13*Table53[[#This Row],[Locality''s Allocation Percentage ]]</f>
        <v>9618.3464276880441</v>
      </c>
      <c r="AV45" s="61">
        <f>$L$14*Table53[[#This Row],[Locality''s Allocation Percentage ]]</f>
        <v>8945.2473265306271</v>
      </c>
      <c r="AW45" s="61">
        <f>$L$15*Table53[[#This Row],[Locality''s Allocation Percentage ]]</f>
        <v>8274.5950840259393</v>
      </c>
      <c r="AX45" s="61">
        <f>$L$16*Table53[[#This Row],[Locality''s Allocation Percentage ]]</f>
        <v>7576.9766391117746</v>
      </c>
      <c r="AY45" s="61">
        <f>$L$17*Table53[[#This Row],[Locality''s Allocation Percentage ]]</f>
        <v>5915.5889647950335</v>
      </c>
      <c r="AZ45" s="61">
        <f>$L$18*Table53[[#This Row],[Locality''s Allocation Percentage ]]</f>
        <v>5915.5889647950335</v>
      </c>
      <c r="BA45" s="61">
        <f>$L$19*Table53[[#This Row],[Locality''s Allocation Percentage ]]</f>
        <v>5915.5889647950335</v>
      </c>
      <c r="BB45" s="61">
        <f>$L$20*Table53[[#This Row],[Locality''s Allocation Percentage ]]</f>
        <v>4889.4282496778833</v>
      </c>
      <c r="BC45" s="61">
        <f>$L$21*Table53[[#This Row],[Locality''s Allocation Percentage ]]</f>
        <v>4889.4282496778833</v>
      </c>
      <c r="BD45" s="61">
        <f>$L$22*Table53[[#This Row],[Locality''s Allocation Percentage ]]</f>
        <v>3529.0012583479711</v>
      </c>
      <c r="BE45" s="61"/>
      <c r="BF45" s="61">
        <f t="shared" si="3"/>
        <v>0</v>
      </c>
      <c r="BG45" s="61">
        <f t="shared" si="3"/>
        <v>4238.2718394562698</v>
      </c>
      <c r="BH45" s="61">
        <f t="shared" si="40"/>
        <v>4906.0176969724325</v>
      </c>
      <c r="BI45" s="61">
        <f t="shared" si="41"/>
        <v>1910.4728723816388</v>
      </c>
      <c r="BJ45" s="61">
        <f t="shared" si="42"/>
        <v>2096.0903127924839</v>
      </c>
      <c r="BK45" s="61">
        <f t="shared" si="43"/>
        <v>2233.0743280236816</v>
      </c>
      <c r="BL45" s="61">
        <f t="shared" si="44"/>
        <v>1680.6907020863503</v>
      </c>
      <c r="BM45" s="61">
        <f t="shared" si="45"/>
        <v>2390.2408365687884</v>
      </c>
      <c r="BN45" s="61">
        <f t="shared" si="46"/>
        <v>2404.586606922011</v>
      </c>
      <c r="BO45" s="61">
        <f t="shared" si="47"/>
        <v>2236.3118316326568</v>
      </c>
      <c r="BP45" s="61">
        <f t="shared" si="48"/>
        <v>2068.6487710064848</v>
      </c>
      <c r="BQ45" s="61">
        <f t="shared" si="49"/>
        <v>1894.2441597779437</v>
      </c>
      <c r="BR45" s="61">
        <f t="shared" si="50"/>
        <v>1478.8972411987584</v>
      </c>
      <c r="BS45" s="61">
        <f t="shared" si="51"/>
        <v>1478.8972411987584</v>
      </c>
      <c r="BT45" s="61">
        <f t="shared" si="52"/>
        <v>1478.8972411987584</v>
      </c>
      <c r="BU45" s="61">
        <f t="shared" si="53"/>
        <v>1222.3570624194708</v>
      </c>
      <c r="BV45" s="61">
        <f t="shared" si="54"/>
        <v>1222.3570624194708</v>
      </c>
      <c r="BW45" s="61">
        <f t="shared" si="37"/>
        <v>882.25031458699277</v>
      </c>
      <c r="BX45" s="61"/>
      <c r="BY45" s="61">
        <f>($C$6+$D$6+$E$6)*Table53[[#This Row],[Locality''s Allocation Percentage ]]</f>
        <v>46850.824874435079</v>
      </c>
      <c r="BZ45" s="61">
        <f>$L$6*Table53[[#This Row],[Locality''s Allocation Percentage ]]</f>
        <v>16953.087357825079</v>
      </c>
      <c r="CA45" s="61">
        <f t="shared" si="4"/>
        <v>4238.2718394562698</v>
      </c>
      <c r="CB45" s="76">
        <f>($C$7+$D$7+$E$7)*Table53[[#This Row],[Locality''s Allocation Percentage ]]</f>
        <v>16896.229316926441</v>
      </c>
      <c r="CC45" s="76">
        <f>$L$7*Table53[[#This Row],[Locality''s Allocation Percentage ]]</f>
        <v>19624.07078788973</v>
      </c>
      <c r="CD45" s="76">
        <f t="shared" si="5"/>
        <v>4906.0176969724325</v>
      </c>
    </row>
    <row r="46" spans="2:82" s="19" customFormat="1" ht="18" customHeight="1" x14ac:dyDescent="0.25">
      <c r="B46" s="48" t="s">
        <v>78</v>
      </c>
      <c r="C46" s="32">
        <f>SUM('[1]Dist - VA Totals'!N19,'[1]Dist - VA Totals'!N20,'[1]Dist - VA Totals'!N23)</f>
        <v>23502936.852050558</v>
      </c>
      <c r="D46" s="49">
        <v>0</v>
      </c>
      <c r="E46" s="50">
        <v>0</v>
      </c>
      <c r="F46" s="50">
        <f t="shared" si="63"/>
        <v>6834168.8545454545</v>
      </c>
      <c r="G46" s="50">
        <v>0</v>
      </c>
      <c r="H46" s="50">
        <v>0</v>
      </c>
      <c r="I46" s="50">
        <v>0</v>
      </c>
      <c r="J46" s="52">
        <f t="shared" si="67"/>
        <v>9060362.2181818169</v>
      </c>
      <c r="K46" s="50">
        <v>0</v>
      </c>
      <c r="L46" s="51">
        <f t="shared" si="62"/>
        <v>39397467.924777828</v>
      </c>
      <c r="M46" s="35"/>
      <c r="N46" s="54">
        <f>0.15*0.55</f>
        <v>8.2500000000000004E-2</v>
      </c>
      <c r="P46" s="36" t="s">
        <v>252</v>
      </c>
      <c r="Q46" s="37">
        <v>1.940019400194E-3</v>
      </c>
      <c r="S46" s="22" t="s">
        <v>111</v>
      </c>
      <c r="T46" s="61">
        <f>($C$5+$D$5+$E$5+$F$5+$G$5+$H$5+$I$5+$J$5+$K$5)*Table53[[#This Row],[Locality''s Allocation Percentage ]]</f>
        <v>7888.7187052227046</v>
      </c>
      <c r="U46" s="61">
        <f>($C$6+$D$6+$E$6+$F$6+$G$6+$H$6+$I$6+$J$6+$K$6)*Table53[[#This Row],[Locality''s Allocation Percentage ]]</f>
        <v>49939.890250771459</v>
      </c>
      <c r="V46" s="61">
        <f>($C$7+$D$7+$E$7+$F$7+$G$7+$H$7+$I$7+$J$7+$K$7)*Table53[[#This Row],[Locality''s Allocation Percentage ]]</f>
        <v>61588.663290018099</v>
      </c>
      <c r="W46" s="61">
        <f>($C$8+$D$8+$E$8+$F$8+$G$8+$H$8+$I$8+$J$8+$K$8)*Table53[[#This Row],[Locality''s Allocation Percentage ]]</f>
        <v>23619.116026671105</v>
      </c>
      <c r="X46" s="61">
        <f>($C$9+$D$9+$E$9+$F$9+$G$9+$H$9+$I$9+$J$9+$K$9)*Table53[[#This Row],[Locality''s Allocation Percentage ]]</f>
        <v>25380.266523069266</v>
      </c>
      <c r="Y46" s="61">
        <f>($C$10+$D$10+$E$10+$F$10+$G$10+$H$10+$I$10+$J$10+$K$10)*Table53[[#This Row],[Locality''s Allocation Percentage ]]</f>
        <v>26973.167559324153</v>
      </c>
      <c r="Z46" s="61">
        <f>($C$11+$D$11+$E$11+$F$11+$G$11+$H$11+$I$11+$J$11+$K$11)*Table53[[#This Row],[Locality''s Allocation Percentage ]]</f>
        <v>20549.845475497448</v>
      </c>
      <c r="AA46" s="61">
        <f>($C$12+$D$12+$E$12+$F$12+$G$12+$H$12+$I$12+$J$12+$K$12)*Table53[[#This Row],[Locality''s Allocation Percentage ]]</f>
        <v>28800.758128220303</v>
      </c>
      <c r="AB46" s="61">
        <f>($C$13+$D$13+$E$13+$F$13+$G$13+$H$13+$I$13+$J$13+$K$13)*Table53[[#This Row],[Locality''s Allocation Percentage ]]</f>
        <v>28931.799720168376</v>
      </c>
      <c r="AC46" s="61">
        <f>($C$14+$D$14+$E$14+$F$14+$G$14+$H$14+$I$14+$J$14+$K$14)*Table53[[#This Row],[Locality''s Allocation Percentage ]]</f>
        <v>27088.639248189083</v>
      </c>
      <c r="AD46" s="61">
        <f>($C$15+$D$15+$E$15+$F$15+$G$15+$H$15+$I$15+$J$15+$K$15)*Table53[[#This Row],[Locality''s Allocation Percentage ]]</f>
        <v>25138.423082930789</v>
      </c>
      <c r="AE46" s="61">
        <f>($C$16+$D$16+$E$16+$F$16+$G$16+$H$16+$I$16+$J$16+$K$16)*Table53[[#This Row],[Locality''s Allocation Percentage ]]</f>
        <v>23110.381449863635</v>
      </c>
      <c r="AF46" s="61">
        <f>($C$17+$D$17+$E$17+$F$17+$G$17+$H$17+$I$17+$J$17+$K$17)*Table53[[#This Row],[Locality''s Allocation Percentage ]]</f>
        <v>17636.598682734151</v>
      </c>
      <c r="AG46" s="61">
        <f>($C$18+$D$18+$E$18+$F$18+$G$18+$H$18+$I$18+$J$18+$K$18)*Table53[[#This Row],[Locality''s Allocation Percentage ]]</f>
        <v>17636.598682734151</v>
      </c>
      <c r="AH46" s="61">
        <f>($C$19+$D$19+$E$19+$F$19+$G$19+$H$19+$I$19+$J$19+$K$19)*Table53[[#This Row],[Locality''s Allocation Percentage ]]</f>
        <v>17636.598682734151</v>
      </c>
      <c r="AI46" s="61">
        <f>($C$20+$D$20+$E$20+$F$20+$G$20+$H$20+$I$20+$J$20+$K$20)*Table53[[#This Row],[Locality''s Allocation Percentage ]]</f>
        <v>14653.454146279697</v>
      </c>
      <c r="AJ46" s="61">
        <f>($C$21+$D$21+$E$21+$F$21+$G$21+$H$21+$I$21+$J$21+$K$21)*Table53[[#This Row],[Locality''s Allocation Percentage ]]</f>
        <v>14653.454146279697</v>
      </c>
      <c r="AK46" s="61">
        <f>($C$22+$D$22+$E$22+$F$22+$G$22+$H$22+$I$22+$J$22+$K$22)*Table53[[#This Row],[Locality''s Allocation Percentage ]]</f>
        <v>10259.134527265333</v>
      </c>
      <c r="AL46" s="61"/>
      <c r="AM46" s="61"/>
      <c r="AN46" s="61">
        <f>$L$6*Table53[[#This Row],[Locality''s Allocation Percentage ]]</f>
        <v>18070.873337461897</v>
      </c>
      <c r="AO46" s="61">
        <f>$L$7*Table53[[#This Row],[Locality''s Allocation Percentage ]]</f>
        <v>20917.965565113231</v>
      </c>
      <c r="AP46" s="61">
        <f>$L$8*Table53[[#This Row],[Locality''s Allocation Percentage ]]</f>
        <v>8145.7524668579772</v>
      </c>
      <c r="AQ46" s="61">
        <f>$L$9*Table53[[#This Row],[Locality''s Allocation Percentage ]]</f>
        <v>8937.1762787196003</v>
      </c>
      <c r="AR46" s="61">
        <f>$L$10*Table53[[#This Row],[Locality''s Allocation Percentage ]]</f>
        <v>9521.2399920130592</v>
      </c>
      <c r="AS46" s="61">
        <f>$L$11*Table53[[#This Row],[Locality''s Allocation Percentage ]]</f>
        <v>7166.021894609933</v>
      </c>
      <c r="AT46" s="61">
        <f>$L$12*Table53[[#This Row],[Locality''s Allocation Percentage ]]</f>
        <v>10191.356533941647</v>
      </c>
      <c r="AU46" s="61">
        <f>$L$13*Table53[[#This Row],[Locality''s Allocation Percentage ]]</f>
        <v>10252.523115227916</v>
      </c>
      <c r="AV46" s="61">
        <f>$L$14*Table53[[#This Row],[Locality''s Allocation Percentage ]]</f>
        <v>9535.0438535546236</v>
      </c>
      <c r="AW46" s="61">
        <f>$L$15*Table53[[#This Row],[Locality''s Allocation Percentage ]]</f>
        <v>8820.1727818738036</v>
      </c>
      <c r="AX46" s="61">
        <f>$L$16*Table53[[#This Row],[Locality''s Allocation Percentage ]]</f>
        <v>8076.5575164158481</v>
      </c>
      <c r="AY46" s="61">
        <f>$L$17*Table53[[#This Row],[Locality''s Allocation Percentage ]]</f>
        <v>6305.6277976386618</v>
      </c>
      <c r="AZ46" s="61">
        <f>$L$18*Table53[[#This Row],[Locality''s Allocation Percentage ]]</f>
        <v>6305.6277976386618</v>
      </c>
      <c r="BA46" s="61">
        <f>$L$19*Table53[[#This Row],[Locality''s Allocation Percentage ]]</f>
        <v>6305.6277976386618</v>
      </c>
      <c r="BB46" s="61">
        <f>$L$20*Table53[[#This Row],[Locality''s Allocation Percentage ]]</f>
        <v>5211.8081342720297</v>
      </c>
      <c r="BC46" s="61">
        <f>$L$21*Table53[[#This Row],[Locality''s Allocation Percentage ]]</f>
        <v>5211.8081342720297</v>
      </c>
      <c r="BD46" s="61">
        <f>$L$22*Table53[[#This Row],[Locality''s Allocation Percentage ]]</f>
        <v>3761.6826599972878</v>
      </c>
      <c r="BE46" s="61"/>
      <c r="BF46" s="61">
        <f t="shared" si="3"/>
        <v>0</v>
      </c>
      <c r="BG46" s="61">
        <f t="shared" si="3"/>
        <v>4517.7183343654742</v>
      </c>
      <c r="BH46" s="61">
        <f t="shared" si="40"/>
        <v>5229.4913912783077</v>
      </c>
      <c r="BI46" s="61">
        <f t="shared" si="41"/>
        <v>2036.4381167144943</v>
      </c>
      <c r="BJ46" s="61">
        <f t="shared" si="42"/>
        <v>2234.2940696799001</v>
      </c>
      <c r="BK46" s="61">
        <f t="shared" si="43"/>
        <v>2380.3099980032648</v>
      </c>
      <c r="BL46" s="61">
        <f t="shared" si="44"/>
        <v>1791.5054736524833</v>
      </c>
      <c r="BM46" s="61">
        <f t="shared" si="45"/>
        <v>2547.8391334854118</v>
      </c>
      <c r="BN46" s="61">
        <f t="shared" si="46"/>
        <v>2563.1307788069789</v>
      </c>
      <c r="BO46" s="61">
        <f t="shared" si="47"/>
        <v>2383.7609633886559</v>
      </c>
      <c r="BP46" s="61">
        <f t="shared" si="48"/>
        <v>2205.0431954684509</v>
      </c>
      <c r="BQ46" s="61">
        <f t="shared" si="49"/>
        <v>2019.139379103962</v>
      </c>
      <c r="BR46" s="61">
        <f t="shared" si="50"/>
        <v>1576.4069494096655</v>
      </c>
      <c r="BS46" s="61">
        <f t="shared" si="51"/>
        <v>1576.4069494096655</v>
      </c>
      <c r="BT46" s="61">
        <f t="shared" si="52"/>
        <v>1576.4069494096655</v>
      </c>
      <c r="BU46" s="61">
        <f t="shared" si="53"/>
        <v>1302.9520335680074</v>
      </c>
      <c r="BV46" s="61">
        <f t="shared" si="54"/>
        <v>1302.9520335680074</v>
      </c>
      <c r="BW46" s="61">
        <f t="shared" si="37"/>
        <v>940.42066499932196</v>
      </c>
      <c r="BX46" s="61"/>
      <c r="BY46" s="61">
        <f>($C$6+$D$6+$E$6)*Table53[[#This Row],[Locality''s Allocation Percentage ]]</f>
        <v>49939.890250771459</v>
      </c>
      <c r="BZ46" s="61">
        <f>$L$6*Table53[[#This Row],[Locality''s Allocation Percentage ]]</f>
        <v>18070.873337461897</v>
      </c>
      <c r="CA46" s="61">
        <f t="shared" si="4"/>
        <v>4517.7183343654742</v>
      </c>
      <c r="CB46" s="76">
        <f>($C$7+$D$7+$E$7)*Table53[[#This Row],[Locality''s Allocation Percentage ]]</f>
        <v>18010.266414745769</v>
      </c>
      <c r="CC46" s="76">
        <f>$L$7*Table53[[#This Row],[Locality''s Allocation Percentage ]]</f>
        <v>20917.965565113231</v>
      </c>
      <c r="CD46" s="76">
        <f t="shared" si="5"/>
        <v>5229.4913912783077</v>
      </c>
    </row>
    <row r="47" spans="2:82" s="19" customFormat="1" ht="18" customHeight="1" x14ac:dyDescent="0.25">
      <c r="B47" s="48" t="s">
        <v>80</v>
      </c>
      <c r="C47" s="32">
        <f>SUM('[1]Dist - VA Totals'!O19,'[1]Dist - VA Totals'!O20,'[1]Dist - VA Totals'!O23)</f>
        <v>23502936.852050558</v>
      </c>
      <c r="D47" s="49">
        <v>0</v>
      </c>
      <c r="E47" s="50">
        <v>0</v>
      </c>
      <c r="F47" s="50">
        <f t="shared" si="63"/>
        <v>6834168.8545454545</v>
      </c>
      <c r="G47" s="50">
        <v>0</v>
      </c>
      <c r="H47" s="50">
        <v>0</v>
      </c>
      <c r="I47" s="50">
        <v>0</v>
      </c>
      <c r="J47" s="52">
        <f t="shared" si="67"/>
        <v>9060362.2181818169</v>
      </c>
      <c r="K47" s="50">
        <v>0</v>
      </c>
      <c r="L47" s="51">
        <f t="shared" si="62"/>
        <v>39397467.924777828</v>
      </c>
      <c r="P47" s="36" t="s">
        <v>253</v>
      </c>
      <c r="Q47" s="37">
        <v>9.5400954009540097E-3</v>
      </c>
      <c r="S47" s="22" t="s">
        <v>113</v>
      </c>
      <c r="T47" s="61">
        <f>($C$5+$D$5+$E$5+$F$5+$G$5+$H$5+$I$5+$J$5+$K$5)*Table53[[#This Row],[Locality''s Allocation Percentage ]]</f>
        <v>38792.977550425094</v>
      </c>
      <c r="U47" s="61">
        <f>($C$6+$D$6+$E$6+$F$6+$G$6+$H$6+$I$6+$J$6+$K$6)*Table53[[#This Row],[Locality''s Allocation Percentage ]]</f>
        <v>245580.69741874238</v>
      </c>
      <c r="V47" s="61">
        <f>($C$7+$D$7+$E$7+$F$7+$G$7+$H$7+$I$7+$J$7+$K$7)*Table53[[#This Row],[Locality''s Allocation Percentage ]]</f>
        <v>302863.83906534704</v>
      </c>
      <c r="W47" s="61">
        <f>($C$8+$D$8+$E$8+$F$8+$G$8+$H$8+$I$8+$J$8+$K$8)*Table53[[#This Row],[Locality''s Allocation Percentage ]]</f>
        <v>116147.61180125906</v>
      </c>
      <c r="X47" s="61">
        <f>($C$9+$D$9+$E$9+$F$9+$G$9+$H$9+$I$9+$J$9+$K$9)*Table53[[#This Row],[Locality''s Allocation Percentage ]]</f>
        <v>124808.11475777374</v>
      </c>
      <c r="Y47" s="61">
        <f>($C$10+$D$10+$E$10+$F$10+$G$10+$H$10+$I$10+$J$10+$K$10)*Table53[[#This Row],[Locality''s Allocation Percentage ]]</f>
        <v>132641.24665770758</v>
      </c>
      <c r="Z47" s="61">
        <f>($C$11+$D$11+$E$11+$F$11+$G$11+$H$11+$I$11+$J$11+$K$11)*Table53[[#This Row],[Locality''s Allocation Percentage ]]</f>
        <v>101054.39476095147</v>
      </c>
      <c r="AA47" s="61">
        <f>($C$12+$D$12+$E$12+$F$12+$G$12+$H$12+$I$12+$J$12+$K$12)*Table53[[#This Row],[Locality''s Allocation Percentage ]]</f>
        <v>141628.47038310411</v>
      </c>
      <c r="AB47" s="61">
        <f>($C$13+$D$13+$E$13+$F$13+$G$13+$H$13+$I$13+$J$13+$K$13)*Table53[[#This Row],[Locality''s Allocation Percentage ]]</f>
        <v>142272.87078886936</v>
      </c>
      <c r="AC47" s="61">
        <f>($C$14+$D$14+$E$14+$F$14+$G$14+$H$14+$I$14+$J$14+$K$14)*Table53[[#This Row],[Locality''s Allocation Percentage ]]</f>
        <v>133209.08166377532</v>
      </c>
      <c r="AD47" s="61">
        <f>($C$15+$D$15+$E$15+$F$15+$G$15+$H$15+$I$15+$J$15+$K$15)*Table53[[#This Row],[Locality''s Allocation Percentage ]]</f>
        <v>123618.84340781442</v>
      </c>
      <c r="AE47" s="61">
        <f>($C$16+$D$16+$E$16+$F$16+$G$16+$H$16+$I$16+$J$16+$K$16)*Table53[[#This Row],[Locality''s Allocation Percentage ]]</f>
        <v>113645.89640809243</v>
      </c>
      <c r="AF47" s="61">
        <f>($C$17+$D$17+$E$17+$F$17+$G$17+$H$17+$I$17+$J$17+$K$17)*Table53[[#This Row],[Locality''s Allocation Percentage ]]</f>
        <v>86728.428573857716</v>
      </c>
      <c r="AG47" s="61">
        <f>($C$18+$D$18+$E$18+$F$18+$G$18+$H$18+$I$18+$J$18+$K$18)*Table53[[#This Row],[Locality''s Allocation Percentage ]]</f>
        <v>86728.428573857716</v>
      </c>
      <c r="AH47" s="61">
        <f>($C$19+$D$19+$E$19+$F$19+$G$19+$H$19+$I$19+$J$19+$K$19)*Table53[[#This Row],[Locality''s Allocation Percentage ]]</f>
        <v>86728.428573857716</v>
      </c>
      <c r="AI47" s="61">
        <f>($C$20+$D$20+$E$20+$F$20+$G$20+$H$20+$I$20+$J$20+$K$20)*Table53[[#This Row],[Locality''s Allocation Percentage ]]</f>
        <v>72058.738430674464</v>
      </c>
      <c r="AJ47" s="61">
        <f>($C$21+$D$21+$E$21+$F$21+$G$21+$H$21+$I$21+$J$21+$K$21)*Table53[[#This Row],[Locality''s Allocation Percentage ]]</f>
        <v>72058.738430674464</v>
      </c>
      <c r="AK47" s="61">
        <f>($C$22+$D$22+$E$22+$F$22+$G$22+$H$22+$I$22+$J$22+$K$22)*Table53[[#This Row],[Locality''s Allocation Percentage ]]</f>
        <v>50449.558448511016</v>
      </c>
      <c r="AL47" s="61"/>
      <c r="AM47" s="61"/>
      <c r="AN47" s="61">
        <f>$L$6*Table53[[#This Row],[Locality''s Allocation Percentage ]]</f>
        <v>88863.985381127161</v>
      </c>
      <c r="AO47" s="61">
        <f>$L$7*Table53[[#This Row],[Locality''s Allocation Percentage ]]</f>
        <v>102864.63478926825</v>
      </c>
      <c r="AP47" s="61">
        <f>$L$8*Table53[[#This Row],[Locality''s Allocation Percentage ]]</f>
        <v>40056.947697848031</v>
      </c>
      <c r="AQ47" s="61">
        <f>$L$9*Table53[[#This Row],[Locality''s Allocation Percentage ]]</f>
        <v>43948.794690198498</v>
      </c>
      <c r="AR47" s="61">
        <f>$L$10*Table53[[#This Row],[Locality''s Allocation Percentage ]]</f>
        <v>46820.943053507566</v>
      </c>
      <c r="AS47" s="61">
        <f>$L$11*Table53[[#This Row],[Locality''s Allocation Percentage ]]</f>
        <v>35239.097358030325</v>
      </c>
      <c r="AT47" s="61">
        <f>$L$12*Table53[[#This Row],[Locality''s Allocation Percentage ]]</f>
        <v>50116.258419486301</v>
      </c>
      <c r="AU47" s="61">
        <f>$L$13*Table53[[#This Row],[Locality''s Allocation Percentage ]]</f>
        <v>50417.046659419801</v>
      </c>
      <c r="AV47" s="61">
        <f>$L$14*Table53[[#This Row],[Locality''s Allocation Percentage ]]</f>
        <v>46888.823898407842</v>
      </c>
      <c r="AW47" s="61">
        <f>$L$15*Table53[[#This Row],[Locality''s Allocation Percentage ]]</f>
        <v>43373.426978905249</v>
      </c>
      <c r="AX47" s="61">
        <f>$L$16*Table53[[#This Row],[Locality''s Allocation Percentage ]]</f>
        <v>39716.67974567385</v>
      </c>
      <c r="AY47" s="61">
        <f>$L$17*Table53[[#This Row],[Locality''s Allocation Percentage ]]</f>
        <v>31008.087211068501</v>
      </c>
      <c r="AZ47" s="61">
        <f>$L$18*Table53[[#This Row],[Locality''s Allocation Percentage ]]</f>
        <v>31008.087211068501</v>
      </c>
      <c r="BA47" s="61">
        <f>$L$19*Table53[[#This Row],[Locality''s Allocation Percentage ]]</f>
        <v>31008.087211068501</v>
      </c>
      <c r="BB47" s="61">
        <f>$L$20*Table53[[#This Row],[Locality''s Allocation Percentage ]]</f>
        <v>25629.200825234646</v>
      </c>
      <c r="BC47" s="61">
        <f>$L$21*Table53[[#This Row],[Locality''s Allocation Percentage ]]</f>
        <v>25629.200825234646</v>
      </c>
      <c r="BD47" s="61">
        <f>$L$22*Table53[[#This Row],[Locality''s Allocation Percentage ]]</f>
        <v>18498.171431120703</v>
      </c>
      <c r="BE47" s="61"/>
      <c r="BF47" s="61">
        <f t="shared" si="3"/>
        <v>0</v>
      </c>
      <c r="BG47" s="61">
        <f t="shared" si="3"/>
        <v>22215.99634528179</v>
      </c>
      <c r="BH47" s="61">
        <f t="shared" si="40"/>
        <v>25716.158697317063</v>
      </c>
      <c r="BI47" s="61">
        <f t="shared" si="41"/>
        <v>10014.236924462008</v>
      </c>
      <c r="BJ47" s="61">
        <f t="shared" si="42"/>
        <v>10987.198672549624</v>
      </c>
      <c r="BK47" s="61">
        <f t="shared" si="43"/>
        <v>11705.235763376892</v>
      </c>
      <c r="BL47" s="61">
        <f t="shared" si="44"/>
        <v>8809.7743395075813</v>
      </c>
      <c r="BM47" s="61">
        <f t="shared" si="45"/>
        <v>12529.064604871575</v>
      </c>
      <c r="BN47" s="61">
        <f t="shared" si="46"/>
        <v>12604.26166485495</v>
      </c>
      <c r="BO47" s="61">
        <f t="shared" si="47"/>
        <v>11722.20597460196</v>
      </c>
      <c r="BP47" s="61">
        <f t="shared" si="48"/>
        <v>10843.356744726312</v>
      </c>
      <c r="BQ47" s="61">
        <f t="shared" si="49"/>
        <v>9929.1699364184624</v>
      </c>
      <c r="BR47" s="61">
        <f t="shared" si="50"/>
        <v>7752.0218027671253</v>
      </c>
      <c r="BS47" s="61">
        <f t="shared" si="51"/>
        <v>7752.0218027671253</v>
      </c>
      <c r="BT47" s="61">
        <f t="shared" si="52"/>
        <v>7752.0218027671253</v>
      </c>
      <c r="BU47" s="61">
        <f t="shared" si="53"/>
        <v>6407.3002063086615</v>
      </c>
      <c r="BV47" s="61">
        <f t="shared" si="54"/>
        <v>6407.3002063086615</v>
      </c>
      <c r="BW47" s="61">
        <f t="shared" si="37"/>
        <v>4624.5428577801758</v>
      </c>
      <c r="BX47" s="61"/>
      <c r="BY47" s="61">
        <f>($C$6+$D$6+$E$6)*Table53[[#This Row],[Locality''s Allocation Percentage ]]</f>
        <v>245580.69741874238</v>
      </c>
      <c r="BZ47" s="61">
        <f>$L$6*Table53[[#This Row],[Locality''s Allocation Percentage ]]</f>
        <v>88863.985381127161</v>
      </c>
      <c r="CA47" s="61">
        <f t="shared" si="4"/>
        <v>22215.99634528179</v>
      </c>
      <c r="CB47" s="76">
        <f>($C$7+$D$7+$E$7)*Table53[[#This Row],[Locality''s Allocation Percentage ]]</f>
        <v>88565.9492766365</v>
      </c>
      <c r="CC47" s="76">
        <f>$L$7*Table53[[#This Row],[Locality''s Allocation Percentage ]]</f>
        <v>102864.63478926825</v>
      </c>
      <c r="CD47" s="76">
        <f t="shared" si="5"/>
        <v>25716.158697317063</v>
      </c>
    </row>
    <row r="48" spans="2:82" s="19" customFormat="1" ht="18" customHeight="1" x14ac:dyDescent="0.25">
      <c r="B48" s="48" t="s">
        <v>82</v>
      </c>
      <c r="C48" s="32">
        <f>SUM('[1]Dist - VA Totals'!P19,'[1]Dist - VA Totals'!P20,'[1]Dist - VA Totals'!P23)</f>
        <v>23502936.852050558</v>
      </c>
      <c r="D48" s="49">
        <v>0</v>
      </c>
      <c r="E48" s="50">
        <v>0</v>
      </c>
      <c r="F48" s="50">
        <f t="shared" si="63"/>
        <v>6834168.8545454545</v>
      </c>
      <c r="G48" s="50">
        <v>0</v>
      </c>
      <c r="H48" s="50">
        <v>0</v>
      </c>
      <c r="I48" s="50">
        <v>0</v>
      </c>
      <c r="J48" s="52">
        <f t="shared" si="67"/>
        <v>9060362.2181818169</v>
      </c>
      <c r="K48" s="50">
        <v>0</v>
      </c>
      <c r="L48" s="51">
        <f t="shared" si="62"/>
        <v>39397467.924777828</v>
      </c>
      <c r="P48" s="36" t="s">
        <v>112</v>
      </c>
      <c r="Q48" s="37">
        <v>7.9000790007899995E-4</v>
      </c>
      <c r="S48" s="22" t="s">
        <v>112</v>
      </c>
      <c r="T48" s="61">
        <f>($C$5+$D$5+$E$5+$F$5+$G$5+$H$5+$I$5+$J$5+$K$5)*Table53[[#This Row],[Locality''s Allocation Percentage ]]</f>
        <v>3212.4163799618227</v>
      </c>
      <c r="U48" s="61">
        <f>($C$6+$D$6+$E$6+$F$6+$G$6+$H$6+$I$6+$J$6+$K$6)*Table53[[#This Row],[Locality''s Allocation Percentage ]]</f>
        <v>20336.347060881162</v>
      </c>
      <c r="V48" s="61">
        <f>($C$7+$D$7+$E$7+$F$7+$G$7+$H$7+$I$7+$J$7+$K$7)*Table53[[#This Row],[Locality''s Allocation Percentage ]]</f>
        <v>25079.91958717232</v>
      </c>
      <c r="W48" s="61">
        <f>($C$8+$D$8+$E$8+$F$8+$G$8+$H$8+$I$8+$J$8+$K$8)*Table53[[#This Row],[Locality''s Allocation Percentage ]]</f>
        <v>9618.0936397268924</v>
      </c>
      <c r="X48" s="61">
        <f>($C$9+$D$9+$E$9+$F$9+$G$9+$H$9+$I$9+$J$9+$K$9)*Table53[[#This Row],[Locality''s Allocation Percentage ]]</f>
        <v>10335.26317176532</v>
      </c>
      <c r="Y48" s="61">
        <f>($C$10+$D$10+$E$10+$F$10+$G$10+$H$10+$I$10+$J$10+$K$10)*Table53[[#This Row],[Locality''s Allocation Percentage ]]</f>
        <v>10983.918748384578</v>
      </c>
      <c r="Z48" s="61">
        <f>($C$11+$D$11+$E$11+$F$11+$G$11+$H$11+$I$11+$J$11+$K$11)*Table53[[#This Row],[Locality''s Allocation Percentage ]]</f>
        <v>8368.2360441458677</v>
      </c>
      <c r="AA48" s="61">
        <f>($C$12+$D$12+$E$12+$F$12+$G$12+$H$12+$I$12+$J$12+$K$12)*Table53[[#This Row],[Locality''s Allocation Percentage ]]</f>
        <v>11728.143773862907</v>
      </c>
      <c r="AB48" s="61">
        <f>($C$13+$D$13+$E$13+$F$13+$G$13+$H$13+$I$13+$J$13+$K$13)*Table53[[#This Row],[Locality''s Allocation Percentage ]]</f>
        <v>11781.506071614956</v>
      </c>
      <c r="AC48" s="61">
        <f>($C$14+$D$14+$E$14+$F$14+$G$14+$H$14+$I$14+$J$14+$K$14)*Table53[[#This Row],[Locality''s Allocation Percentage ]]</f>
        <v>11030.940724778029</v>
      </c>
      <c r="AD48" s="61">
        <f>($C$15+$D$15+$E$15+$F$15+$G$15+$H$15+$I$15+$J$15+$K$15)*Table53[[#This Row],[Locality''s Allocation Percentage ]]</f>
        <v>10236.780533770785</v>
      </c>
      <c r="AE48" s="61">
        <f>($C$16+$D$16+$E$16+$F$16+$G$16+$H$16+$I$16+$J$16+$K$16)*Table53[[#This Row],[Locality''s Allocation Percentage ]]</f>
        <v>9410.9285285527167</v>
      </c>
      <c r="AF48" s="61">
        <f>($C$17+$D$17+$E$17+$F$17+$G$17+$H$17+$I$17+$J$17+$K$17)*Table53[[#This Row],[Locality''s Allocation Percentage ]]</f>
        <v>7181.9138965773082</v>
      </c>
      <c r="AG48" s="61">
        <f>($C$18+$D$18+$E$18+$F$18+$G$18+$H$18+$I$18+$J$18+$K$18)*Table53[[#This Row],[Locality''s Allocation Percentage ]]</f>
        <v>7181.9138965773082</v>
      </c>
      <c r="AH48" s="61">
        <f>($C$19+$D$19+$E$19+$F$19+$G$19+$H$19+$I$19+$J$19+$K$19)*Table53[[#This Row],[Locality''s Allocation Percentage ]]</f>
        <v>7181.9138965773082</v>
      </c>
      <c r="AI48" s="61">
        <f>($C$20+$D$20+$E$20+$F$20+$G$20+$H$20+$I$20+$J$20+$K$20)*Table53[[#This Row],[Locality''s Allocation Percentage ]]</f>
        <v>5967.1282348252371</v>
      </c>
      <c r="AJ48" s="61">
        <f>($C$21+$D$21+$E$21+$F$21+$G$21+$H$21+$I$21+$J$21+$K$21)*Table53[[#This Row],[Locality''s Allocation Percentage ]]</f>
        <v>5967.1282348252371</v>
      </c>
      <c r="AK48" s="61">
        <f>($C$22+$D$22+$E$22+$F$22+$G$22+$H$22+$I$22+$J$22+$K$22)*Table53[[#This Row],[Locality''s Allocation Percentage ]]</f>
        <v>4177.6888023400061</v>
      </c>
      <c r="AL48" s="61"/>
      <c r="AM48" s="61"/>
      <c r="AN48" s="61">
        <f>$L$6*Table53[[#This Row],[Locality''s Allocation Percentage ]]</f>
        <v>7358.7576992757204</v>
      </c>
      <c r="AO48" s="61">
        <f>$L$7*Table53[[#This Row],[Locality''s Allocation Percentage ]]</f>
        <v>8518.1406167213663</v>
      </c>
      <c r="AP48" s="61">
        <f>$L$8*Table53[[#This Row],[Locality''s Allocation Percentage ]]</f>
        <v>3317.0847674318566</v>
      </c>
      <c r="AQ48" s="61">
        <f>$L$9*Table53[[#This Row],[Locality''s Allocation Percentage ]]</f>
        <v>3639.3655980353014</v>
      </c>
      <c r="AR48" s="61">
        <f>$L$10*Table53[[#This Row],[Locality''s Allocation Percentage ]]</f>
        <v>3877.2059761290293</v>
      </c>
      <c r="AS48" s="61">
        <f>$L$11*Table53[[#This Row],[Locality''s Allocation Percentage ]]</f>
        <v>2918.1223179081685</v>
      </c>
      <c r="AT48" s="61">
        <f>$L$12*Table53[[#This Row],[Locality''s Allocation Percentage ]]</f>
        <v>4150.088485471083</v>
      </c>
      <c r="AU48" s="61">
        <f>$L$13*Table53[[#This Row],[Locality''s Allocation Percentage ]]</f>
        <v>4174.9965263041513</v>
      </c>
      <c r="AV48" s="61">
        <f>$L$14*Table53[[#This Row],[Locality''s Allocation Percentage ]]</f>
        <v>3882.8271362413157</v>
      </c>
      <c r="AW48" s="61">
        <f>$L$15*Table53[[#This Row],[Locality''s Allocation Percentage ]]</f>
        <v>3591.7198441651058</v>
      </c>
      <c r="AX48" s="61">
        <f>$L$16*Table53[[#This Row],[Locality''s Allocation Percentage ]]</f>
        <v>3288.9074422518142</v>
      </c>
      <c r="AY48" s="61">
        <f>$L$17*Table53[[#This Row],[Locality''s Allocation Percentage ]]</f>
        <v>2567.7556495538879</v>
      </c>
      <c r="AZ48" s="61">
        <f>$L$18*Table53[[#This Row],[Locality''s Allocation Percentage ]]</f>
        <v>2567.7556495538879</v>
      </c>
      <c r="BA48" s="61">
        <f>$L$19*Table53[[#This Row],[Locality''s Allocation Percentage ]]</f>
        <v>2567.7556495538879</v>
      </c>
      <c r="BB48" s="61">
        <f>$L$20*Table53[[#This Row],[Locality''s Allocation Percentage ]]</f>
        <v>2122.3342402447956</v>
      </c>
      <c r="BC48" s="61">
        <f>$L$21*Table53[[#This Row],[Locality''s Allocation Percentage ]]</f>
        <v>2122.3342402447956</v>
      </c>
      <c r="BD48" s="61">
        <f>$L$22*Table53[[#This Row],[Locality''s Allocation Percentage ]]</f>
        <v>1531.8192275246688</v>
      </c>
      <c r="BE48" s="61"/>
      <c r="BF48" s="61">
        <f t="shared" si="3"/>
        <v>0</v>
      </c>
      <c r="BG48" s="61">
        <f t="shared" si="3"/>
        <v>1839.6894248189301</v>
      </c>
      <c r="BH48" s="61">
        <f t="shared" si="40"/>
        <v>2129.5351541803416</v>
      </c>
      <c r="BI48" s="61">
        <f t="shared" si="41"/>
        <v>829.27119185796414</v>
      </c>
      <c r="BJ48" s="61">
        <f t="shared" si="42"/>
        <v>909.84139950882536</v>
      </c>
      <c r="BK48" s="61">
        <f t="shared" si="43"/>
        <v>969.30149403225732</v>
      </c>
      <c r="BL48" s="61">
        <f t="shared" si="44"/>
        <v>729.53057947704212</v>
      </c>
      <c r="BM48" s="61">
        <f t="shared" si="45"/>
        <v>1037.5221213677708</v>
      </c>
      <c r="BN48" s="61">
        <f t="shared" si="46"/>
        <v>1043.7491315760378</v>
      </c>
      <c r="BO48" s="61">
        <f t="shared" si="47"/>
        <v>970.70678406032891</v>
      </c>
      <c r="BP48" s="61">
        <f t="shared" si="48"/>
        <v>897.92996104127644</v>
      </c>
      <c r="BQ48" s="61">
        <f t="shared" si="49"/>
        <v>822.22686056295356</v>
      </c>
      <c r="BR48" s="61">
        <f t="shared" si="50"/>
        <v>641.93891238847198</v>
      </c>
      <c r="BS48" s="61">
        <f t="shared" si="51"/>
        <v>641.93891238847198</v>
      </c>
      <c r="BT48" s="61">
        <f t="shared" si="52"/>
        <v>641.93891238847198</v>
      </c>
      <c r="BU48" s="61">
        <f t="shared" si="53"/>
        <v>530.58356006119891</v>
      </c>
      <c r="BV48" s="61">
        <f t="shared" si="54"/>
        <v>530.58356006119891</v>
      </c>
      <c r="BW48" s="61">
        <f t="shared" si="37"/>
        <v>382.9548068811672</v>
      </c>
      <c r="BX48" s="61"/>
      <c r="BY48" s="61">
        <f>($C$6+$D$6+$E$6)*Table53[[#This Row],[Locality''s Allocation Percentage ]]</f>
        <v>20336.347060881162</v>
      </c>
      <c r="BZ48" s="61">
        <f>$L$6*Table53[[#This Row],[Locality''s Allocation Percentage ]]</f>
        <v>7358.7576992757204</v>
      </c>
      <c r="CA48" s="61">
        <f t="shared" si="4"/>
        <v>1839.6894248189301</v>
      </c>
      <c r="CB48" s="76">
        <f>($C$7+$D$7+$E$7)*Table53[[#This Row],[Locality''s Allocation Percentage ]]</f>
        <v>7334.0775606438947</v>
      </c>
      <c r="CC48" s="76">
        <f>$L$7*Table53[[#This Row],[Locality''s Allocation Percentage ]]</f>
        <v>8518.1406167213663</v>
      </c>
      <c r="CD48" s="76">
        <f t="shared" si="5"/>
        <v>2129.5351541803416</v>
      </c>
    </row>
    <row r="49" spans="2:82" s="19" customFormat="1" ht="18" customHeight="1" x14ac:dyDescent="0.25">
      <c r="B49" s="48" t="s">
        <v>84</v>
      </c>
      <c r="C49" s="32">
        <f>SUM('[1]Dist - VA Totals'!Q19,'[1]Dist - VA Totals'!Q20,'[1]Dist - VA Totals'!Q23)</f>
        <v>23502936.852050558</v>
      </c>
      <c r="D49" s="49">
        <v>0</v>
      </c>
      <c r="E49" s="50">
        <v>0</v>
      </c>
      <c r="F49" s="50">
        <v>0</v>
      </c>
      <c r="G49" s="50">
        <v>0</v>
      </c>
      <c r="H49" s="50">
        <v>0</v>
      </c>
      <c r="I49" s="50">
        <v>0</v>
      </c>
      <c r="J49" s="52">
        <f t="shared" si="67"/>
        <v>9060362.2181818169</v>
      </c>
      <c r="K49" s="50">
        <v>0</v>
      </c>
      <c r="L49" s="51">
        <f t="shared" si="62"/>
        <v>32563299.070232376</v>
      </c>
      <c r="N49" s="19">
        <v>2257313.92</v>
      </c>
      <c r="P49" s="36" t="s">
        <v>254</v>
      </c>
      <c r="Q49" s="37">
        <v>1.2770127701276999E-2</v>
      </c>
      <c r="S49" s="22" t="s">
        <v>114</v>
      </c>
      <c r="T49" s="61">
        <f>($C$5+$D$5+$E$5+$F$5+$G$5+$H$5+$I$5+$J$5+$K$5)*Table53[[#This Row],[Locality''s Allocation Percentage ]]</f>
        <v>51927.287559636046</v>
      </c>
      <c r="U49" s="61">
        <f>($C$6+$D$6+$E$6+$F$6+$G$6+$H$6+$I$6+$J$6+$K$6)*Table53[[#This Row],[Locality''s Allocation Percentage ]]</f>
        <v>328728.04046512966</v>
      </c>
      <c r="V49" s="61">
        <f>($C$7+$D$7+$E$7+$F$7+$G$7+$H$7+$I$7+$J$7+$K$7)*Table53[[#This Row],[Locality''s Allocation Percentage ]]</f>
        <v>405405.78876986139</v>
      </c>
      <c r="W49" s="61">
        <f>($C$8+$D$8+$E$8+$F$8+$G$8+$H$8+$I$8+$J$8+$K$8)*Table53[[#This Row],[Locality''s Allocation Percentage ]]</f>
        <v>155472.22250545875</v>
      </c>
      <c r="X49" s="61">
        <f>($C$9+$D$9+$E$9+$F$9+$G$9+$H$9+$I$9+$J$9+$K$9)*Table53[[#This Row],[Locality''s Allocation Percentage ]]</f>
        <v>167064.95025752296</v>
      </c>
      <c r="Y49" s="61">
        <f>($C$10+$D$10+$E$10+$F$10+$G$10+$H$10+$I$10+$J$10+$K$10)*Table53[[#This Row],[Locality''s Allocation Percentage ]]</f>
        <v>177550.18027452033</v>
      </c>
      <c r="Z49" s="61">
        <f>($C$11+$D$11+$E$11+$F$11+$G$11+$H$11+$I$11+$J$11+$K$11)*Table53[[#This Row],[Locality''s Allocation Percentage ]]</f>
        <v>135268.82820726928</v>
      </c>
      <c r="AA49" s="61">
        <f>($C$12+$D$12+$E$12+$F$12+$G$12+$H$12+$I$12+$J$12+$K$12)*Table53[[#This Row],[Locality''s Allocation Percentage ]]</f>
        <v>189580.2480914295</v>
      </c>
      <c r="AB49" s="61">
        <f>($C$13+$D$13+$E$13+$F$13+$G$13+$H$13+$I$13+$J$13+$K$13)*Table53[[#This Row],[Locality''s Allocation Percentage ]]</f>
        <v>190442.82599306706</v>
      </c>
      <c r="AC49" s="61">
        <f>($C$14+$D$14+$E$14+$F$14+$G$14+$H$14+$I$14+$J$14+$K$14)*Table53[[#This Row],[Locality''s Allocation Percentage ]]</f>
        <v>178310.26969039929</v>
      </c>
      <c r="AD49" s="61">
        <f>($C$15+$D$15+$E$15+$F$15+$G$15+$H$15+$I$15+$J$15+$K$15)*Table53[[#This Row],[Locality''s Allocation Percentage ]]</f>
        <v>165473.02204588978</v>
      </c>
      <c r="AE49" s="61">
        <f>($C$16+$D$16+$E$16+$F$16+$G$16+$H$16+$I$16+$J$16+$K$16)*Table53[[#This Row],[Locality''s Allocation Percentage ]]</f>
        <v>152123.4902653395</v>
      </c>
      <c r="AF49" s="61">
        <f>($C$17+$D$17+$E$17+$F$17+$G$17+$H$17+$I$17+$J$17+$K$17)*Table53[[#This Row],[Locality''s Allocation Percentage ]]</f>
        <v>116092.45627758509</v>
      </c>
      <c r="AG49" s="61">
        <f>($C$18+$D$18+$E$18+$F$18+$G$18+$H$18+$I$18+$J$18+$K$18)*Table53[[#This Row],[Locality''s Allocation Percentage ]]</f>
        <v>116092.45627758509</v>
      </c>
      <c r="AH49" s="61">
        <f>($C$19+$D$19+$E$19+$F$19+$G$19+$H$19+$I$19+$J$19+$K$19)*Table53[[#This Row],[Locality''s Allocation Percentage ]]</f>
        <v>116092.45627758509</v>
      </c>
      <c r="AI49" s="61">
        <f>($C$20+$D$20+$E$20+$F$20+$G$20+$H$20+$I$20+$J$20+$K$20)*Table53[[#This Row],[Locality''s Allocation Percentage ]]</f>
        <v>96455.984251542133</v>
      </c>
      <c r="AJ49" s="61">
        <f>($C$21+$D$21+$E$21+$F$21+$G$21+$H$21+$I$21+$J$21+$K$21)*Table53[[#This Row],[Locality''s Allocation Percentage ]]</f>
        <v>96455.984251542133</v>
      </c>
      <c r="AK49" s="61">
        <f>($C$22+$D$22+$E$22+$F$22+$G$22+$H$22+$I$22+$J$22+$K$22)*Table53[[#This Row],[Locality''s Allocation Percentage ]]</f>
        <v>67530.488615040347</v>
      </c>
      <c r="AL49" s="61"/>
      <c r="AM49" s="61"/>
      <c r="AN49" s="61">
        <f>$L$6*Table53[[#This Row],[Locality''s Allocation Percentage ]]</f>
        <v>118951.05799968475</v>
      </c>
      <c r="AO49" s="61">
        <f>$L$7*Table53[[#This Row],[Locality''s Allocation Percentage ]]</f>
        <v>137691.96920953397</v>
      </c>
      <c r="AP49" s="61">
        <f>$L$8*Table53[[#This Row],[Locality''s Allocation Percentage ]]</f>
        <v>53619.205671018746</v>
      </c>
      <c r="AQ49" s="61">
        <f>$L$9*Table53[[#This Row],[Locality''s Allocation Percentage ]]</f>
        <v>58828.732515076961</v>
      </c>
      <c r="AR49" s="61">
        <f>$L$10*Table53[[#This Row],[Locality''s Allocation Percentage ]]</f>
        <v>62673.31685464266</v>
      </c>
      <c r="AS49" s="61">
        <f>$L$11*Table53[[#This Row],[Locality''s Allocation Percentage ]]</f>
        <v>47170.154429983937</v>
      </c>
      <c r="AT49" s="61">
        <f>$L$12*Table53[[#This Row],[Locality''s Allocation Percentage ]]</f>
        <v>67084.341720842698</v>
      </c>
      <c r="AU49" s="61">
        <f>$L$13*Table53[[#This Row],[Locality''s Allocation Percentage ]]</f>
        <v>67486.969165701274</v>
      </c>
      <c r="AV49" s="61">
        <f>$L$14*Table53[[#This Row],[Locality''s Allocation Percentage ]]</f>
        <v>62764.180417470387</v>
      </c>
      <c r="AW49" s="61">
        <f>$L$15*Table53[[#This Row],[Locality''s Allocation Percentage ]]</f>
        <v>58058.560012643546</v>
      </c>
      <c r="AX49" s="61">
        <f>$L$16*Table53[[#This Row],[Locality''s Allocation Percentage ]]</f>
        <v>53163.731693108442</v>
      </c>
      <c r="AY49" s="61">
        <f>$L$17*Table53[[#This Row],[Locality''s Allocation Percentage ]]</f>
        <v>41506.632461776135</v>
      </c>
      <c r="AZ49" s="61">
        <f>$L$18*Table53[[#This Row],[Locality''s Allocation Percentage ]]</f>
        <v>41506.632461776135</v>
      </c>
      <c r="BA49" s="61">
        <f>$L$19*Table53[[#This Row],[Locality''s Allocation Percentage ]]</f>
        <v>41506.632461776135</v>
      </c>
      <c r="BB49" s="61">
        <f>$L$20*Table53[[#This Row],[Locality''s Allocation Percentage ]]</f>
        <v>34306.59271889372</v>
      </c>
      <c r="BC49" s="61">
        <f>$L$21*Table53[[#This Row],[Locality''s Allocation Percentage ]]</f>
        <v>34306.59271889372</v>
      </c>
      <c r="BD49" s="61">
        <f>$L$22*Table53[[#This Row],[Locality''s Allocation Percentage ]]</f>
        <v>24761.179158848128</v>
      </c>
      <c r="BE49" s="61"/>
      <c r="BF49" s="61">
        <f t="shared" si="3"/>
        <v>0</v>
      </c>
      <c r="BG49" s="61">
        <f t="shared" si="3"/>
        <v>29737.764499921188</v>
      </c>
      <c r="BH49" s="61">
        <f t="shared" si="40"/>
        <v>34422.992302383493</v>
      </c>
      <c r="BI49" s="61">
        <f t="shared" si="41"/>
        <v>13404.801417754687</v>
      </c>
      <c r="BJ49" s="61">
        <f t="shared" si="42"/>
        <v>14707.18312876924</v>
      </c>
      <c r="BK49" s="61">
        <f t="shared" si="43"/>
        <v>15668.329213660665</v>
      </c>
      <c r="BL49" s="61">
        <f t="shared" si="44"/>
        <v>11792.538607495984</v>
      </c>
      <c r="BM49" s="61">
        <f t="shared" si="45"/>
        <v>16771.085430210675</v>
      </c>
      <c r="BN49" s="61">
        <f t="shared" si="46"/>
        <v>16871.742291425318</v>
      </c>
      <c r="BO49" s="61">
        <f t="shared" si="47"/>
        <v>15691.045104367597</v>
      </c>
      <c r="BP49" s="61">
        <f t="shared" si="48"/>
        <v>14514.640003160886</v>
      </c>
      <c r="BQ49" s="61">
        <f t="shared" si="49"/>
        <v>13290.932923277111</v>
      </c>
      <c r="BR49" s="61">
        <f t="shared" si="50"/>
        <v>10376.658115444034</v>
      </c>
      <c r="BS49" s="61">
        <f t="shared" si="51"/>
        <v>10376.658115444034</v>
      </c>
      <c r="BT49" s="61">
        <f t="shared" si="52"/>
        <v>10376.658115444034</v>
      </c>
      <c r="BU49" s="61">
        <f t="shared" si="53"/>
        <v>8576.6481797234301</v>
      </c>
      <c r="BV49" s="61">
        <f t="shared" si="54"/>
        <v>8576.6481797234301</v>
      </c>
      <c r="BW49" s="61">
        <f t="shared" si="37"/>
        <v>6190.2947897120321</v>
      </c>
      <c r="BX49" s="61"/>
      <c r="BY49" s="61">
        <f>($C$6+$D$6+$E$6)*Table53[[#This Row],[Locality''s Allocation Percentage ]]</f>
        <v>328728.04046512966</v>
      </c>
      <c r="BZ49" s="61">
        <f>$L$6*Table53[[#This Row],[Locality''s Allocation Percentage ]]</f>
        <v>118951.05799968475</v>
      </c>
      <c r="CA49" s="61">
        <f t="shared" si="4"/>
        <v>29737.764499921188</v>
      </c>
      <c r="CB49" s="76">
        <f>($C$7+$D$7+$E$7)*Table53[[#This Row],[Locality''s Allocation Percentage ]]</f>
        <v>118552.11449293992</v>
      </c>
      <c r="CC49" s="76">
        <f>$L$7*Table53[[#This Row],[Locality''s Allocation Percentage ]]</f>
        <v>137691.96920953397</v>
      </c>
      <c r="CD49" s="76">
        <f t="shared" si="5"/>
        <v>34422.992302383493</v>
      </c>
    </row>
    <row r="50" spans="2:82" s="19" customFormat="1" ht="18" customHeight="1" x14ac:dyDescent="0.25">
      <c r="B50" s="48" t="s">
        <v>86</v>
      </c>
      <c r="C50" s="32">
        <f>SUM('[1]Dist - VA Totals'!R19,'[1]Dist - VA Totals'!R20,'[1]Dist - VA Totals'!R23)</f>
        <v>23502936.852050558</v>
      </c>
      <c r="D50" s="49">
        <v>0</v>
      </c>
      <c r="E50" s="50">
        <v>0</v>
      </c>
      <c r="F50" s="50">
        <v>0</v>
      </c>
      <c r="G50" s="50">
        <v>0</v>
      </c>
      <c r="H50" s="50">
        <v>0</v>
      </c>
      <c r="I50" s="50">
        <v>0</v>
      </c>
      <c r="J50" s="52">
        <f t="shared" si="67"/>
        <v>9060362.2181818169</v>
      </c>
      <c r="K50" s="50">
        <v>0</v>
      </c>
      <c r="L50" s="51">
        <f t="shared" si="62"/>
        <v>32563299.070232376</v>
      </c>
      <c r="P50" s="36" t="s">
        <v>115</v>
      </c>
      <c r="Q50" s="37">
        <v>5.2400524005239996E-3</v>
      </c>
      <c r="S50" s="22" t="s">
        <v>115</v>
      </c>
      <c r="T50" s="61">
        <f>($C$5+$D$5+$E$5+$F$5+$G$5+$H$5+$I$5+$J$5+$K$5)*Table53[[#This Row],[Locality''s Allocation Percentage ]]</f>
        <v>21307.673203797407</v>
      </c>
      <c r="U50" s="61">
        <f>($C$6+$D$6+$E$6+$F$6+$G$6+$H$6+$I$6+$J$6+$K$6)*Table53[[#This Row],[Locality''s Allocation Percentage ]]</f>
        <v>134889.18810002189</v>
      </c>
      <c r="V50" s="61">
        <f>($C$7+$D$7+$E$7+$F$7+$G$7+$H$7+$I$7+$J$7+$K$7)*Table53[[#This Row],[Locality''s Allocation Percentage ]]</f>
        <v>166352.88435035816</v>
      </c>
      <c r="W50" s="61">
        <f>($C$8+$D$8+$E$8+$F$8+$G$8+$H$8+$I$8+$J$8+$K$8)*Table53[[#This Row],[Locality''s Allocation Percentage ]]</f>
        <v>63795.962876163183</v>
      </c>
      <c r="X50" s="61">
        <f>($C$9+$D$9+$E$9+$F$9+$G$9+$H$9+$I$9+$J$9+$K$9)*Table53[[#This Row],[Locality''s Allocation Percentage ]]</f>
        <v>68552.884835506673</v>
      </c>
      <c r="Y50" s="61">
        <f>($C$10+$D$10+$E$10+$F$10+$G$10+$H$10+$I$10+$J$10+$K$10)*Table53[[#This Row],[Locality''s Allocation Percentage ]]</f>
        <v>72855.359799411628</v>
      </c>
      <c r="Z50" s="61">
        <f>($C$11+$D$11+$E$11+$F$11+$G$11+$H$11+$I$11+$J$11+$K$11)*Table53[[#This Row],[Locality''s Allocation Percentage ]]</f>
        <v>55505.768191549803</v>
      </c>
      <c r="AA50" s="61">
        <f>($C$12+$D$12+$E$12+$F$12+$G$12+$H$12+$I$12+$J$12+$K$12)*Table53[[#This Row],[Locality''s Allocation Percentage ]]</f>
        <v>77791.738449419776</v>
      </c>
      <c r="AB50" s="61">
        <f>($C$13+$D$13+$E$13+$F$13+$G$13+$H$13+$I$13+$J$13+$K$13)*Table53[[#This Row],[Locality''s Allocation Percentage ]]</f>
        <v>78145.685842104271</v>
      </c>
      <c r="AC50" s="61">
        <f>($C$14+$D$14+$E$14+$F$14+$G$14+$H$14+$I$14+$J$14+$K$14)*Table53[[#This Row],[Locality''s Allocation Percentage ]]</f>
        <v>73167.252402325146</v>
      </c>
      <c r="AD50" s="61">
        <f>($C$15+$D$15+$E$15+$F$15+$G$15+$H$15+$I$15+$J$15+$K$15)*Table53[[#This Row],[Locality''s Allocation Percentage ]]</f>
        <v>67899.658223998616</v>
      </c>
      <c r="AE50" s="61">
        <f>($C$16+$D$16+$E$16+$F$16+$G$16+$H$16+$I$16+$J$16+$K$16)*Table53[[#This Row],[Locality''s Allocation Percentage ]]</f>
        <v>62421.85505014714</v>
      </c>
      <c r="AF50" s="61">
        <f>($C$17+$D$17+$E$17+$F$17+$G$17+$H$17+$I$17+$J$17+$K$17)*Table53[[#This Row],[Locality''s Allocation Percentage ]]</f>
        <v>47636.99850387987</v>
      </c>
      <c r="AG50" s="61">
        <f>($C$18+$D$18+$E$18+$F$18+$G$18+$H$18+$I$18+$J$18+$K$18)*Table53[[#This Row],[Locality''s Allocation Percentage ]]</f>
        <v>47636.99850387987</v>
      </c>
      <c r="AH50" s="61">
        <f>($C$19+$D$19+$E$19+$F$19+$G$19+$H$19+$I$19+$J$19+$K$19)*Table53[[#This Row],[Locality''s Allocation Percentage ]]</f>
        <v>47636.99850387987</v>
      </c>
      <c r="AI50" s="61">
        <f>($C$20+$D$20+$E$20+$F$20+$G$20+$H$20+$I$20+$J$20+$K$20)*Table53[[#This Row],[Locality''s Allocation Percentage ]]</f>
        <v>39579.432848714234</v>
      </c>
      <c r="AJ50" s="61">
        <f>($C$21+$D$21+$E$21+$F$21+$G$21+$H$21+$I$21+$J$21+$K$21)*Table53[[#This Row],[Locality''s Allocation Percentage ]]</f>
        <v>39579.432848714234</v>
      </c>
      <c r="AK50" s="61">
        <f>($C$22+$D$22+$E$22+$F$22+$G$22+$H$22+$I$22+$J$22+$K$22)*Table53[[#This Row],[Locality''s Allocation Percentage ]]</f>
        <v>27710.239650964089</v>
      </c>
      <c r="AL50" s="61"/>
      <c r="AM50" s="61"/>
      <c r="AN50" s="61">
        <f>$L$6*Table53[[#This Row],[Locality''s Allocation Percentage ]]</f>
        <v>48809.987777474402</v>
      </c>
      <c r="AO50" s="61">
        <f>$L$7*Table53[[#This Row],[Locality''s Allocation Percentage ]]</f>
        <v>56500.071938759444</v>
      </c>
      <c r="AP50" s="61">
        <f>$L$8*Table53[[#This Row],[Locality''s Allocation Percentage ]]</f>
        <v>22001.92934347206</v>
      </c>
      <c r="AQ50" s="61">
        <f>$L$9*Table53[[#This Row],[Locality''s Allocation Percentage ]]</f>
        <v>24139.589536335418</v>
      </c>
      <c r="AR50" s="61">
        <f>$L$10*Table53[[#This Row],[Locality''s Allocation Percentage ]]</f>
        <v>25717.163689767232</v>
      </c>
      <c r="AS50" s="61">
        <f>$L$11*Table53[[#This Row],[Locality''s Allocation Percentage ]]</f>
        <v>19355.646766884562</v>
      </c>
      <c r="AT50" s="61">
        <f>$L$12*Table53[[#This Row],[Locality''s Allocation Percentage ]]</f>
        <v>27527.16919477022</v>
      </c>
      <c r="AU50" s="61">
        <f>$L$13*Table53[[#This Row],[Locality''s Allocation Percentage ]]</f>
        <v>27692.382022574369</v>
      </c>
      <c r="AV50" s="61">
        <f>$L$14*Table53[[#This Row],[Locality''s Allocation Percentage ]]</f>
        <v>25754.448346714551</v>
      </c>
      <c r="AW50" s="61">
        <f>$L$15*Table53[[#This Row],[Locality''s Allocation Percentage ]]</f>
        <v>23823.559472690067</v>
      </c>
      <c r="AX50" s="61">
        <f>$L$16*Table53[[#This Row],[Locality''s Allocation Percentage ]]</f>
        <v>21815.031642277856</v>
      </c>
      <c r="AY50" s="61">
        <f>$L$17*Table53[[#This Row],[Locality''s Allocation Percentage ]]</f>
        <v>17031.695700838445</v>
      </c>
      <c r="AZ50" s="61">
        <f>$L$18*Table53[[#This Row],[Locality''s Allocation Percentage ]]</f>
        <v>17031.695700838445</v>
      </c>
      <c r="BA50" s="61">
        <f>$L$19*Table53[[#This Row],[Locality''s Allocation Percentage ]]</f>
        <v>17031.695700838445</v>
      </c>
      <c r="BB50" s="61">
        <f>$L$20*Table53[[#This Row],[Locality''s Allocation Percentage ]]</f>
        <v>14077.254960611048</v>
      </c>
      <c r="BC50" s="61">
        <f>$L$21*Table53[[#This Row],[Locality''s Allocation Percentage ]]</f>
        <v>14077.254960611048</v>
      </c>
      <c r="BD50" s="61">
        <f>$L$22*Table53[[#This Row],[Locality''s Allocation Percentage ]]</f>
        <v>10160.421205353499</v>
      </c>
      <c r="BE50" s="61"/>
      <c r="BF50" s="61">
        <f t="shared" si="3"/>
        <v>0</v>
      </c>
      <c r="BG50" s="61">
        <f t="shared" si="3"/>
        <v>12202.4969443686</v>
      </c>
      <c r="BH50" s="61">
        <f t="shared" si="40"/>
        <v>14125.017984689861</v>
      </c>
      <c r="BI50" s="61">
        <f t="shared" si="41"/>
        <v>5500.4823358680151</v>
      </c>
      <c r="BJ50" s="61">
        <f t="shared" si="42"/>
        <v>6034.8973840838544</v>
      </c>
      <c r="BK50" s="61">
        <f t="shared" si="43"/>
        <v>6429.2909224418081</v>
      </c>
      <c r="BL50" s="61">
        <f t="shared" si="44"/>
        <v>4838.9116917211404</v>
      </c>
      <c r="BM50" s="61">
        <f t="shared" si="45"/>
        <v>6881.7922986925551</v>
      </c>
      <c r="BN50" s="61">
        <f t="shared" si="46"/>
        <v>6923.0955056435923</v>
      </c>
      <c r="BO50" s="61">
        <f t="shared" si="47"/>
        <v>6438.6120866786378</v>
      </c>
      <c r="BP50" s="61">
        <f t="shared" si="48"/>
        <v>5955.8898681725168</v>
      </c>
      <c r="BQ50" s="61">
        <f t="shared" si="49"/>
        <v>5453.757910569464</v>
      </c>
      <c r="BR50" s="61">
        <f t="shared" si="50"/>
        <v>4257.9239252096113</v>
      </c>
      <c r="BS50" s="61">
        <f t="shared" si="51"/>
        <v>4257.9239252096113</v>
      </c>
      <c r="BT50" s="61">
        <f t="shared" si="52"/>
        <v>4257.9239252096113</v>
      </c>
      <c r="BU50" s="61">
        <f t="shared" si="53"/>
        <v>3519.313740152762</v>
      </c>
      <c r="BV50" s="61">
        <f t="shared" si="54"/>
        <v>3519.313740152762</v>
      </c>
      <c r="BW50" s="61">
        <f t="shared" si="37"/>
        <v>2540.1053013383748</v>
      </c>
      <c r="BX50" s="61"/>
      <c r="BY50" s="61">
        <f>($C$6+$D$6+$E$6)*Table53[[#This Row],[Locality''s Allocation Percentage ]]</f>
        <v>134889.18810002189</v>
      </c>
      <c r="BZ50" s="61">
        <f>$L$6*Table53[[#This Row],[Locality''s Allocation Percentage ]]</f>
        <v>48809.987777474402</v>
      </c>
      <c r="CA50" s="61">
        <f t="shared" si="4"/>
        <v>12202.4969443686</v>
      </c>
      <c r="CB50" s="76">
        <f>($C$7+$D$7+$E$7)*Table53[[#This Row],[Locality''s Allocation Percentage ]]</f>
        <v>48646.286604777226</v>
      </c>
      <c r="CC50" s="76">
        <f>$L$7*Table53[[#This Row],[Locality''s Allocation Percentage ]]</f>
        <v>56500.071938759444</v>
      </c>
      <c r="CD50" s="76">
        <f t="shared" si="5"/>
        <v>14125.017984689861</v>
      </c>
    </row>
    <row r="51" spans="2:82" s="19" customFormat="1" ht="18" customHeight="1" thickBot="1" x14ac:dyDescent="0.3">
      <c r="B51" s="55" t="s">
        <v>88</v>
      </c>
      <c r="C51" s="56">
        <f>SUM('[1]Dist - VA Totals'!S19,'[1]Dist - VA Totals'!S20,'[1]Dist - VA Totals'!S23)</f>
        <v>23502936.852050558</v>
      </c>
      <c r="D51" s="56">
        <v>0</v>
      </c>
      <c r="E51" s="57">
        <v>0</v>
      </c>
      <c r="F51" s="57">
        <v>0</v>
      </c>
      <c r="G51" s="57">
        <v>0</v>
      </c>
      <c r="H51" s="57">
        <v>0</v>
      </c>
      <c r="I51" s="57">
        <v>0</v>
      </c>
      <c r="J51" s="57">
        <v>0</v>
      </c>
      <c r="K51" s="57">
        <v>0</v>
      </c>
      <c r="L51" s="58">
        <f t="shared" si="62"/>
        <v>23502936.852050558</v>
      </c>
      <c r="N51" s="35">
        <f>SUM(N49,N44)</f>
        <v>3303886.7409999999</v>
      </c>
      <c r="P51" s="36" t="s">
        <v>116</v>
      </c>
      <c r="Q51" s="37">
        <v>1.3900139001390001E-3</v>
      </c>
      <c r="S51" s="22" t="s">
        <v>116</v>
      </c>
      <c r="T51" s="61">
        <f>($C$5+$D$5+$E$5+$F$5+$G$5+$H$5+$I$5+$J$5+$K$5)*Table53[[#This Row],[Locality''s Allocation Percentage ]]</f>
        <v>5652.2262887935876</v>
      </c>
      <c r="U51" s="61">
        <f>($C$6+$D$6+$E$6+$F$6+$G$6+$H$6+$I$6+$J$6+$K$6)*Table53[[#This Row],[Locality''s Allocation Percentage ]]</f>
        <v>35781.673942563059</v>
      </c>
      <c r="V51" s="61">
        <f>($C$7+$D$7+$E$7+$F$7+$G$7+$H$7+$I$7+$J$7+$K$7)*Table53[[#This Row],[Locality''s Allocation Percentage ]]</f>
        <v>44127.959779961428</v>
      </c>
      <c r="W51" s="61">
        <f>($C$8+$D$8+$E$8+$F$8+$G$8+$H$8+$I$8+$J$8+$K$8)*Table53[[#This Row],[Locality''s Allocation Percentage ]]</f>
        <v>16922.97488508909</v>
      </c>
      <c r="X51" s="61">
        <f>($C$9+$D$9+$E$9+$F$9+$G$9+$H$9+$I$9+$J$9+$K$9)*Table53[[#This Row],[Locality''s Allocation Percentage ]]</f>
        <v>18184.830137663033</v>
      </c>
      <c r="Y51" s="61">
        <f>($C$10+$D$10+$E$10+$F$10+$G$10+$H$10+$I$10+$J$10+$K$10)*Table53[[#This Row],[Locality''s Allocation Percentage ]]</f>
        <v>19326.135519309573</v>
      </c>
      <c r="Z51" s="61">
        <f>($C$11+$D$11+$E$11+$F$11+$G$11+$H$11+$I$11+$J$11+$K$11)*Table53[[#This Row],[Locality''s Allocation Percentage ]]</f>
        <v>14723.858356155388</v>
      </c>
      <c r="AA51" s="61">
        <f>($C$12+$D$12+$E$12+$F$12+$G$12+$H$12+$I$12+$J$12+$K$12)*Table53[[#This Row],[Locality''s Allocation Percentage ]]</f>
        <v>20635.594741353721</v>
      </c>
      <c r="AB51" s="61">
        <f>($C$13+$D$13+$E$13+$F$13+$G$13+$H$13+$I$13+$J$13+$K$13)*Table53[[#This Row],[Locality''s Allocation Percentage ]]</f>
        <v>20729.485366512392</v>
      </c>
      <c r="AC51" s="61">
        <f>($C$14+$D$14+$E$14+$F$14+$G$14+$H$14+$I$14+$J$14+$K$14)*Table53[[#This Row],[Locality''s Allocation Percentage ]]</f>
        <v>19408.870389166408</v>
      </c>
      <c r="AD51" s="61">
        <f>($C$15+$D$15+$E$15+$F$15+$G$15+$H$15+$I$15+$J$15+$K$15)*Table53[[#This Row],[Locality''s Allocation Percentage ]]</f>
        <v>18011.550559419484</v>
      </c>
      <c r="AE51" s="61">
        <f>($C$16+$D$16+$E$16+$F$16+$G$16+$H$16+$I$16+$J$16+$K$16)*Table53[[#This Row],[Locality''s Allocation Percentage ]]</f>
        <v>16558.469183149718</v>
      </c>
      <c r="AF51" s="61">
        <f>($C$17+$D$17+$E$17+$F$17+$G$17+$H$17+$I$17+$J$17+$K$17)*Table53[[#This Row],[Locality''s Allocation Percentage ]]</f>
        <v>12636.532045876531</v>
      </c>
      <c r="AG51" s="61">
        <f>($C$18+$D$18+$E$18+$F$18+$G$18+$H$18+$I$18+$J$18+$K$18)*Table53[[#This Row],[Locality''s Allocation Percentage ]]</f>
        <v>12636.532045876531</v>
      </c>
      <c r="AH51" s="61">
        <f>($C$19+$D$19+$E$19+$F$19+$G$19+$H$19+$I$19+$J$19+$K$19)*Table53[[#This Row],[Locality''s Allocation Percentage ]]</f>
        <v>12636.532045876531</v>
      </c>
      <c r="AI51" s="61">
        <f>($C$20+$D$20+$E$20+$F$20+$G$20+$H$20+$I$20+$J$20+$K$20)*Table53[[#This Row],[Locality''s Allocation Percentage ]]</f>
        <v>10499.12436254061</v>
      </c>
      <c r="AJ51" s="61">
        <f>($C$21+$D$21+$E$21+$F$21+$G$21+$H$21+$I$21+$J$21+$K$21)*Table53[[#This Row],[Locality''s Allocation Percentage ]]</f>
        <v>10499.12436254061</v>
      </c>
      <c r="AK51" s="61">
        <f>($C$22+$D$22+$E$22+$F$22+$G$22+$H$22+$I$22+$J$22+$K$22)*Table53[[#This Row],[Locality''s Allocation Percentage ]]</f>
        <v>7350.6170066488721</v>
      </c>
      <c r="AL51" s="61"/>
      <c r="AM51" s="61"/>
      <c r="AN51" s="61">
        <f>$L$6*Table53[[#This Row],[Locality''s Allocation Percentage ]]</f>
        <v>12947.687597459813</v>
      </c>
      <c r="AO51" s="61">
        <f>$L$7*Table53[[#This Row],[Locality''s Allocation Percentage ]]</f>
        <v>14987.61450283886</v>
      </c>
      <c r="AP51" s="61">
        <f>$L$8*Table53[[#This Row],[Locality''s Allocation Percentage ]]</f>
        <v>5836.3896540889637</v>
      </c>
      <c r="AQ51" s="61">
        <f>$L$9*Table53[[#This Row],[Locality''s Allocation Percentage ]]</f>
        <v>6403.4407357836326</v>
      </c>
      <c r="AR51" s="61">
        <f>$L$10*Table53[[#This Row],[Locality''s Allocation Percentage ]]</f>
        <v>6821.9193757206976</v>
      </c>
      <c r="AS51" s="61">
        <f>$L$11*Table53[[#This Row],[Locality''s Allocation Percentage ]]</f>
        <v>5134.417749230829</v>
      </c>
      <c r="AT51" s="61">
        <f>$L$12*Table53[[#This Row],[Locality''s Allocation Percentage ]]</f>
        <v>7302.0544238035518</v>
      </c>
      <c r="AU51" s="61">
        <f>$L$13*Table53[[#This Row],[Locality''s Allocation Percentage ]]</f>
        <v>7345.8799640035068</v>
      </c>
      <c r="AV51" s="61">
        <f>$L$14*Table53[[#This Row],[Locality''s Allocation Percentage ]]</f>
        <v>6831.8097713613033</v>
      </c>
      <c r="AW51" s="61">
        <f>$L$15*Table53[[#This Row],[Locality''s Allocation Percentage ]]</f>
        <v>6319.608333404427</v>
      </c>
      <c r="AX51" s="61">
        <f>$L$16*Table53[[#This Row],[Locality''s Allocation Percentage ]]</f>
        <v>5786.81182877218</v>
      </c>
      <c r="AY51" s="61">
        <f>$L$17*Table53[[#This Row],[Locality''s Allocation Percentage ]]</f>
        <v>4517.9498137720311</v>
      </c>
      <c r="AZ51" s="61">
        <f>$L$18*Table53[[#This Row],[Locality''s Allocation Percentage ]]</f>
        <v>4517.9498137720311</v>
      </c>
      <c r="BA51" s="61">
        <f>$L$19*Table53[[#This Row],[Locality''s Allocation Percentage ]]</f>
        <v>4517.9498137720311</v>
      </c>
      <c r="BB51" s="61">
        <f>$L$20*Table53[[#This Row],[Locality''s Allocation Percentage ]]</f>
        <v>3734.2336632155266</v>
      </c>
      <c r="BC51" s="61">
        <f>$L$21*Table53[[#This Row],[Locality''s Allocation Percentage ]]</f>
        <v>3734.2336632155266</v>
      </c>
      <c r="BD51" s="61">
        <f>$L$22*Table53[[#This Row],[Locality''s Allocation Percentage ]]</f>
        <v>2695.226235771253</v>
      </c>
      <c r="BE51" s="61"/>
      <c r="BF51" s="61">
        <f t="shared" si="3"/>
        <v>0</v>
      </c>
      <c r="BG51" s="61">
        <f t="shared" si="3"/>
        <v>3236.9218993649533</v>
      </c>
      <c r="BH51" s="61">
        <f t="shared" si="40"/>
        <v>3746.903625709715</v>
      </c>
      <c r="BI51" s="61">
        <f t="shared" si="41"/>
        <v>1459.0974135222409</v>
      </c>
      <c r="BJ51" s="61">
        <f t="shared" si="42"/>
        <v>1600.8601839459081</v>
      </c>
      <c r="BK51" s="61">
        <f t="shared" si="43"/>
        <v>1705.4798439301744</v>
      </c>
      <c r="BL51" s="61">
        <f t="shared" si="44"/>
        <v>1283.6044373077073</v>
      </c>
      <c r="BM51" s="61">
        <f t="shared" si="45"/>
        <v>1825.5136059508879</v>
      </c>
      <c r="BN51" s="61">
        <f t="shared" si="46"/>
        <v>1836.4699910008767</v>
      </c>
      <c r="BO51" s="61">
        <f t="shared" si="47"/>
        <v>1707.9524428403258</v>
      </c>
      <c r="BP51" s="61">
        <f t="shared" si="48"/>
        <v>1579.9020833511067</v>
      </c>
      <c r="BQ51" s="61">
        <f t="shared" si="49"/>
        <v>1446.702957193045</v>
      </c>
      <c r="BR51" s="61">
        <f t="shared" si="50"/>
        <v>1129.4874534430078</v>
      </c>
      <c r="BS51" s="61">
        <f t="shared" si="51"/>
        <v>1129.4874534430078</v>
      </c>
      <c r="BT51" s="61">
        <f t="shared" si="52"/>
        <v>1129.4874534430078</v>
      </c>
      <c r="BU51" s="61">
        <f t="shared" si="53"/>
        <v>933.55841580388164</v>
      </c>
      <c r="BV51" s="61">
        <f t="shared" si="54"/>
        <v>933.55841580388164</v>
      </c>
      <c r="BW51" s="61">
        <f t="shared" si="37"/>
        <v>673.80655894281324</v>
      </c>
      <c r="BX51" s="61"/>
      <c r="BY51" s="61">
        <f>($C$6+$D$6+$E$6)*Table53[[#This Row],[Locality''s Allocation Percentage ]]</f>
        <v>35781.673942563059</v>
      </c>
      <c r="BZ51" s="61">
        <f>$L$6*Table53[[#This Row],[Locality''s Allocation Percentage ]]</f>
        <v>12947.687597459813</v>
      </c>
      <c r="CA51" s="61">
        <f t="shared" si="4"/>
        <v>3236.9218993649533</v>
      </c>
      <c r="CB51" s="76">
        <f>($C$7+$D$7+$E$7)*Table53[[#This Row],[Locality''s Allocation Percentage ]]</f>
        <v>12904.263049740524</v>
      </c>
      <c r="CC51" s="76">
        <f>$L$7*Table53[[#This Row],[Locality''s Allocation Percentage ]]</f>
        <v>14987.61450283886</v>
      </c>
      <c r="CD51" s="76">
        <f t="shared" si="5"/>
        <v>3746.903625709715</v>
      </c>
    </row>
    <row r="52" spans="2:82" s="19" customFormat="1" ht="18" customHeight="1" x14ac:dyDescent="0.25">
      <c r="B52" s="19" t="s">
        <v>326</v>
      </c>
      <c r="C52" s="35">
        <f>SUM(C34:C51)</f>
        <v>418801039.16521823</v>
      </c>
      <c r="D52" s="35">
        <f t="shared" ref="D52:J52" si="68">SUM(D34:D51)</f>
        <v>97238138.314006582</v>
      </c>
      <c r="E52" s="35">
        <f t="shared" si="68"/>
        <v>7592783.21</v>
      </c>
      <c r="F52" s="35">
        <f t="shared" si="68"/>
        <v>88285194.727272734</v>
      </c>
      <c r="G52" s="35">
        <f t="shared" si="68"/>
        <v>48631502.563636355</v>
      </c>
      <c r="H52" s="35">
        <f t="shared" si="68"/>
        <v>61152080.581818178</v>
      </c>
      <c r="I52" s="35">
        <f t="shared" si="68"/>
        <v>107988262.14545454</v>
      </c>
      <c r="J52" s="35">
        <f t="shared" si="68"/>
        <v>117425926.25454545</v>
      </c>
      <c r="K52" s="35"/>
      <c r="L52" s="35">
        <f>SUM(L34:L51)</f>
        <v>954297646.2892251</v>
      </c>
      <c r="P52" s="36" t="s">
        <v>255</v>
      </c>
      <c r="Q52" s="37">
        <v>4.0900409004089996E-3</v>
      </c>
      <c r="S52" s="22" t="s">
        <v>117</v>
      </c>
      <c r="T52" s="61">
        <f>($C$5+$D$5+$E$5+$F$5+$G$5+$H$5+$I$5+$J$5+$K$5)*Table53[[#This Row],[Locality''s Allocation Percentage ]]</f>
        <v>16631.370878536527</v>
      </c>
      <c r="U52" s="61">
        <f>($C$6+$D$6+$E$6+$F$6+$G$6+$H$6+$I$6+$J$6+$K$6)*Table53[[#This Row],[Locality''s Allocation Percentage ]]</f>
        <v>105285.64491013158</v>
      </c>
      <c r="V52" s="61">
        <f>($C$7+$D$7+$E$7+$F$7+$G$7+$H$7+$I$7+$J$7+$K$7)*Table53[[#This Row],[Locality''s Allocation Percentage ]]</f>
        <v>129844.14064751238</v>
      </c>
      <c r="W52" s="61">
        <f>($C$8+$D$8+$E$8+$F$8+$G$8+$H$8+$I$8+$J$8+$K$8)*Table53[[#This Row],[Locality''s Allocation Percentage ]]</f>
        <v>49794.94048921897</v>
      </c>
      <c r="X52" s="61">
        <f>($C$9+$D$9+$E$9+$F$9+$G$9+$H$9+$I$9+$J$9+$K$9)*Table53[[#This Row],[Locality''s Allocation Percentage ]]</f>
        <v>53507.881484202728</v>
      </c>
      <c r="Y52" s="61">
        <f>($C$10+$D$10+$E$10+$F$10+$G$10+$H$10+$I$10+$J$10+$K$10)*Table53[[#This Row],[Locality''s Allocation Percentage ]]</f>
        <v>56866.11098847205</v>
      </c>
      <c r="Z52" s="61">
        <f>($C$11+$D$11+$E$11+$F$11+$G$11+$H$11+$I$11+$J$11+$K$11)*Table53[[#This Row],[Locality''s Allocation Percentage ]]</f>
        <v>43324.158760198225</v>
      </c>
      <c r="AA52" s="61">
        <f>($C$12+$D$12+$E$12+$F$12+$G$12+$H$12+$I$12+$J$12+$K$12)*Table53[[#This Row],[Locality''s Allocation Percentage ]]</f>
        <v>60719.124095062383</v>
      </c>
      <c r="AB52" s="61">
        <f>($C$13+$D$13+$E$13+$F$13+$G$13+$H$13+$I$13+$J$13+$K$13)*Table53[[#This Row],[Locality''s Allocation Percentage ]]</f>
        <v>60995.392193550848</v>
      </c>
      <c r="AC52" s="61">
        <f>($C$14+$D$14+$E$14+$F$14+$G$14+$H$14+$I$14+$J$14+$K$14)*Table53[[#This Row],[Locality''s Allocation Percentage ]]</f>
        <v>57109.553878914099</v>
      </c>
      <c r="AD52" s="61">
        <f>($C$15+$D$15+$E$15+$F$15+$G$15+$H$15+$I$15+$J$15+$K$15)*Table53[[#This Row],[Locality''s Allocation Percentage ]]</f>
        <v>52998.015674838614</v>
      </c>
      <c r="AE52" s="61">
        <f>($C$16+$D$16+$E$16+$F$16+$G$16+$H$16+$I$16+$J$16+$K$16)*Table53[[#This Row],[Locality''s Allocation Percentage ]]</f>
        <v>48722.40212883622</v>
      </c>
      <c r="AF52" s="61">
        <f>($C$17+$D$17+$E$17+$F$17+$G$17+$H$17+$I$17+$J$17+$K$17)*Table53[[#This Row],[Locality''s Allocation Percentage ]]</f>
        <v>37182.313717723024</v>
      </c>
      <c r="AG52" s="61">
        <f>($C$18+$D$18+$E$18+$F$18+$G$18+$H$18+$I$18+$J$18+$K$18)*Table53[[#This Row],[Locality''s Allocation Percentage ]]</f>
        <v>37182.313717723024</v>
      </c>
      <c r="AH52" s="61">
        <f>($C$19+$D$19+$E$19+$F$19+$G$19+$H$19+$I$19+$J$19+$K$19)*Table53[[#This Row],[Locality''s Allocation Percentage ]]</f>
        <v>37182.313717723024</v>
      </c>
      <c r="AI52" s="61">
        <f>($C$20+$D$20+$E$20+$F$20+$G$20+$H$20+$I$20+$J$20+$K$20)*Table53[[#This Row],[Locality''s Allocation Percentage ]]</f>
        <v>30893.106937259774</v>
      </c>
      <c r="AJ52" s="61">
        <f>($C$21+$D$21+$E$21+$F$21+$G$21+$H$21+$I$21+$J$21+$K$21)*Table53[[#This Row],[Locality''s Allocation Percentage ]]</f>
        <v>30893.106937259774</v>
      </c>
      <c r="AK52" s="61">
        <f>($C$22+$D$22+$E$22+$F$22+$G$22+$H$22+$I$22+$J$22+$K$22)*Table53[[#This Row],[Locality''s Allocation Percentage ]]</f>
        <v>21628.793926038765</v>
      </c>
      <c r="AL52" s="61"/>
      <c r="AM52" s="61"/>
      <c r="AN52" s="61">
        <f>$L$6*Table53[[#This Row],[Locality''s Allocation Percentage ]]</f>
        <v>38097.872139288222</v>
      </c>
      <c r="AO52" s="61">
        <f>$L$7*Table53[[#This Row],[Locality''s Allocation Percentage ]]</f>
        <v>44100.246990367574</v>
      </c>
      <c r="AP52" s="61">
        <f>$L$8*Table53[[#This Row],[Locality''s Allocation Percentage ]]</f>
        <v>17173.261644045939</v>
      </c>
      <c r="AQ52" s="61">
        <f>$L$9*Table53[[#This Row],[Locality''s Allocation Percentage ]]</f>
        <v>18841.778855651115</v>
      </c>
      <c r="AR52" s="61">
        <f>$L$10*Table53[[#This Row],[Locality''s Allocation Percentage ]]</f>
        <v>20073.129673883202</v>
      </c>
      <c r="AS52" s="61">
        <f>$L$11*Table53[[#This Row],[Locality''s Allocation Percentage ]]</f>
        <v>15107.747190182796</v>
      </c>
      <c r="AT52" s="61">
        <f>$L$12*Table53[[#This Row],[Locality''s Allocation Percentage ]]</f>
        <v>21485.901146299657</v>
      </c>
      <c r="AU52" s="61">
        <f>$L$13*Table53[[#This Row],[Locality''s Allocation Percentage ]]</f>
        <v>21614.855433650606</v>
      </c>
      <c r="AV52" s="61">
        <f>$L$14*Table53[[#This Row],[Locality''s Allocation Percentage ]]</f>
        <v>20102.231629401242</v>
      </c>
      <c r="AW52" s="61">
        <f>$L$15*Table53[[#This Row],[Locality''s Allocation Percentage ]]</f>
        <v>18595.106534981369</v>
      </c>
      <c r="AX52" s="61">
        <f>$L$16*Table53[[#This Row],[Locality''s Allocation Percentage ]]</f>
        <v>17027.381568113822</v>
      </c>
      <c r="AY52" s="61">
        <f>$L$17*Table53[[#This Row],[Locality''s Allocation Percentage ]]</f>
        <v>13293.823552753673</v>
      </c>
      <c r="AZ52" s="61">
        <f>$L$18*Table53[[#This Row],[Locality''s Allocation Percentage ]]</f>
        <v>13293.823552753673</v>
      </c>
      <c r="BA52" s="61">
        <f>$L$19*Table53[[#This Row],[Locality''s Allocation Percentage ]]</f>
        <v>13293.823552753673</v>
      </c>
      <c r="BB52" s="61">
        <f>$L$20*Table53[[#This Row],[Locality''s Allocation Percentage ]]</f>
        <v>10987.781066583813</v>
      </c>
      <c r="BC52" s="61">
        <f>$L$21*Table53[[#This Row],[Locality''s Allocation Percentage ]]</f>
        <v>10987.781066583813</v>
      </c>
      <c r="BD52" s="61">
        <f>$L$22*Table53[[#This Row],[Locality''s Allocation Percentage ]]</f>
        <v>7930.5577728808794</v>
      </c>
      <c r="BE52" s="61"/>
      <c r="BF52" s="61">
        <f t="shared" si="3"/>
        <v>0</v>
      </c>
      <c r="BG52" s="61">
        <f t="shared" si="3"/>
        <v>9524.4680348220554</v>
      </c>
      <c r="BH52" s="61">
        <f t="shared" si="40"/>
        <v>11025.061747591893</v>
      </c>
      <c r="BI52" s="61">
        <f t="shared" si="41"/>
        <v>4293.3154110114847</v>
      </c>
      <c r="BJ52" s="61">
        <f t="shared" si="42"/>
        <v>4710.4447139127788</v>
      </c>
      <c r="BK52" s="61">
        <f t="shared" si="43"/>
        <v>5018.2824184708006</v>
      </c>
      <c r="BL52" s="61">
        <f t="shared" si="44"/>
        <v>3776.9367975456989</v>
      </c>
      <c r="BM52" s="61">
        <f t="shared" si="45"/>
        <v>5371.4752865749142</v>
      </c>
      <c r="BN52" s="61">
        <f t="shared" si="46"/>
        <v>5403.7138584126515</v>
      </c>
      <c r="BO52" s="61">
        <f t="shared" si="47"/>
        <v>5025.5579073503104</v>
      </c>
      <c r="BP52" s="61">
        <f t="shared" si="48"/>
        <v>4648.7766337453422</v>
      </c>
      <c r="BQ52" s="61">
        <f t="shared" si="49"/>
        <v>4256.8453920284555</v>
      </c>
      <c r="BR52" s="61">
        <f t="shared" si="50"/>
        <v>3323.4558881884182</v>
      </c>
      <c r="BS52" s="61">
        <f t="shared" si="51"/>
        <v>3323.4558881884182</v>
      </c>
      <c r="BT52" s="61">
        <f t="shared" si="52"/>
        <v>3323.4558881884182</v>
      </c>
      <c r="BU52" s="61">
        <f t="shared" si="53"/>
        <v>2746.9452666459533</v>
      </c>
      <c r="BV52" s="61">
        <f t="shared" si="54"/>
        <v>2746.9452666459533</v>
      </c>
      <c r="BW52" s="61">
        <f t="shared" si="37"/>
        <v>1982.6394432202198</v>
      </c>
      <c r="BX52" s="61"/>
      <c r="BY52" s="61">
        <f>($C$6+$D$6+$E$6)*Table53[[#This Row],[Locality''s Allocation Percentage ]]</f>
        <v>105285.64491013158</v>
      </c>
      <c r="BZ52" s="61">
        <f>$L$6*Table53[[#This Row],[Locality''s Allocation Percentage ]]</f>
        <v>38097.872139288222</v>
      </c>
      <c r="CA52" s="61">
        <f t="shared" si="4"/>
        <v>9524.4680348220554</v>
      </c>
      <c r="CB52" s="76">
        <f>($C$7+$D$7+$E$7)*Table53[[#This Row],[Locality''s Allocation Percentage ]]</f>
        <v>37970.097750675355</v>
      </c>
      <c r="CC52" s="76">
        <f>$L$7*Table53[[#This Row],[Locality''s Allocation Percentage ]]</f>
        <v>44100.246990367574</v>
      </c>
      <c r="CD52" s="76">
        <f t="shared" si="5"/>
        <v>11025.061747591893</v>
      </c>
    </row>
    <row r="53" spans="2:82" s="19" customFormat="1" ht="18" customHeight="1" x14ac:dyDescent="0.25">
      <c r="B53" s="19" t="s">
        <v>324</v>
      </c>
      <c r="C53" s="35">
        <v>429355032.60000002</v>
      </c>
      <c r="D53" s="35">
        <v>99269665.489999995</v>
      </c>
      <c r="E53" s="35">
        <v>7592783.21</v>
      </c>
      <c r="F53" s="35">
        <v>89249634.340000004</v>
      </c>
      <c r="G53" s="35">
        <v>49173622.689999998</v>
      </c>
      <c r="H53" s="35">
        <v>61621044.210000001</v>
      </c>
      <c r="I53" s="35">
        <v>108807283.56</v>
      </c>
      <c r="J53" s="35">
        <v>118342370.14</v>
      </c>
      <c r="K53" s="35"/>
      <c r="L53" s="35">
        <f>SUM(C53:J53)</f>
        <v>963411436.23999989</v>
      </c>
      <c r="N53" s="19">
        <v>615631.06999999995</v>
      </c>
      <c r="P53" s="36" t="s">
        <v>256</v>
      </c>
      <c r="Q53" s="37">
        <v>4.2400424004239998E-3</v>
      </c>
      <c r="S53" s="22" t="s">
        <v>118</v>
      </c>
      <c r="T53" s="61">
        <f>($C$5+$D$5+$E$5+$F$5+$G$5+$H$5+$I$5+$J$5+$K$5)*Table53[[#This Row],[Locality''s Allocation Percentage ]]</f>
        <v>17241.323355744469</v>
      </c>
      <c r="U53" s="61">
        <f>($C$6+$D$6+$E$6+$F$6+$G$6+$H$6+$I$6+$J$6+$K$6)*Table53[[#This Row],[Locality''s Allocation Percentage ]]</f>
        <v>109146.97663055206</v>
      </c>
      <c r="V53" s="61">
        <f>($C$7+$D$7+$E$7+$F$7+$G$7+$H$7+$I$7+$J$7+$K$7)*Table53[[#This Row],[Locality''s Allocation Percentage ]]</f>
        <v>134606.15069570966</v>
      </c>
      <c r="W53" s="61">
        <f>($C$8+$D$8+$E$8+$F$8+$G$8+$H$8+$I$8+$J$8+$K$8)*Table53[[#This Row],[Locality''s Allocation Percentage ]]</f>
        <v>51621.160800559526</v>
      </c>
      <c r="X53" s="61">
        <f>($C$9+$D$9+$E$9+$F$9+$G$9+$H$9+$I$9+$J$9+$K$9)*Table53[[#This Row],[Locality''s Allocation Percentage ]]</f>
        <v>55470.273225677156</v>
      </c>
      <c r="Y53" s="61">
        <f>($C$10+$D$10+$E$10+$F$10+$G$10+$H$10+$I$10+$J$10+$K$10)*Table53[[#This Row],[Locality''s Allocation Percentage ]]</f>
        <v>58951.665181203301</v>
      </c>
      <c r="Z53" s="61">
        <f>($C$11+$D$11+$E$11+$F$11+$G$11+$H$11+$I$11+$J$11+$K$11)*Table53[[#This Row],[Locality''s Allocation Percentage ]]</f>
        <v>44913.064338200609</v>
      </c>
      <c r="AA53" s="61">
        <f>($C$12+$D$12+$E$12+$F$12+$G$12+$H$12+$I$12+$J$12+$K$12)*Table53[[#This Row],[Locality''s Allocation Percentage ]]</f>
        <v>62945.986836935095</v>
      </c>
      <c r="AB53" s="61">
        <f>($C$13+$D$13+$E$13+$F$13+$G$13+$H$13+$I$13+$J$13+$K$13)*Table53[[#This Row],[Locality''s Allocation Percentage ]]</f>
        <v>63232.387017275207</v>
      </c>
      <c r="AC53" s="61">
        <f>($C$14+$D$14+$E$14+$F$14+$G$14+$H$14+$I$14+$J$14+$K$14)*Table53[[#This Row],[Locality''s Allocation Percentage ]]</f>
        <v>59204.036295011196</v>
      </c>
      <c r="AD53" s="61">
        <f>($C$15+$D$15+$E$15+$F$15+$G$15+$H$15+$I$15+$J$15+$K$15)*Table53[[#This Row],[Locality''s Allocation Percentage ]]</f>
        <v>54941.708181250797</v>
      </c>
      <c r="AE53" s="61">
        <f>($C$16+$D$16+$E$16+$F$16+$G$16+$H$16+$I$16+$J$16+$K$16)*Table53[[#This Row],[Locality''s Allocation Percentage ]]</f>
        <v>50509.287292485467</v>
      </c>
      <c r="AF53" s="61">
        <f>($C$17+$D$17+$E$17+$F$17+$G$17+$H$17+$I$17+$J$17+$K$17)*Table53[[#This Row],[Locality''s Allocation Percentage ]]</f>
        <v>38545.968255047832</v>
      </c>
      <c r="AG53" s="61">
        <f>($C$18+$D$18+$E$18+$F$18+$G$18+$H$18+$I$18+$J$18+$K$18)*Table53[[#This Row],[Locality''s Allocation Percentage ]]</f>
        <v>38545.968255047832</v>
      </c>
      <c r="AH53" s="61">
        <f>($C$19+$D$19+$E$19+$F$19+$G$19+$H$19+$I$19+$J$19+$K$19)*Table53[[#This Row],[Locality''s Allocation Percentage ]]</f>
        <v>38545.968255047832</v>
      </c>
      <c r="AI53" s="61">
        <f>($C$20+$D$20+$E$20+$F$20+$G$20+$H$20+$I$20+$J$20+$K$20)*Table53[[#This Row],[Locality''s Allocation Percentage ]]</f>
        <v>32026.105969188618</v>
      </c>
      <c r="AJ53" s="61">
        <f>($C$21+$D$21+$E$21+$F$21+$G$21+$H$21+$I$21+$J$21+$K$21)*Table53[[#This Row],[Locality''s Allocation Percentage ]]</f>
        <v>32026.105969188618</v>
      </c>
      <c r="AK53" s="61">
        <f>($C$22+$D$22+$E$22+$F$22+$G$22+$H$22+$I$22+$J$22+$K$22)*Table53[[#This Row],[Locality''s Allocation Percentage ]]</f>
        <v>22422.025977115984</v>
      </c>
      <c r="AL53" s="61"/>
      <c r="AM53" s="61"/>
      <c r="AN53" s="61">
        <f>$L$6*Table53[[#This Row],[Locality''s Allocation Percentage ]]</f>
        <v>39495.10461383425</v>
      </c>
      <c r="AO53" s="61">
        <f>$L$7*Table53[[#This Row],[Locality''s Allocation Percentage ]]</f>
        <v>45717.615461896952</v>
      </c>
      <c r="AP53" s="61">
        <f>$L$8*Table53[[#This Row],[Locality''s Allocation Percentage ]]</f>
        <v>17803.087865710218</v>
      </c>
      <c r="AQ53" s="61">
        <f>$L$9*Table53[[#This Row],[Locality''s Allocation Percentage ]]</f>
        <v>19532.7976400882</v>
      </c>
      <c r="AR53" s="61">
        <f>$L$10*Table53[[#This Row],[Locality''s Allocation Percentage ]]</f>
        <v>20809.308023781119</v>
      </c>
      <c r="AS53" s="61">
        <f>$L$11*Table53[[#This Row],[Locality''s Allocation Percentage ]]</f>
        <v>15661.821048013462</v>
      </c>
      <c r="AT53" s="61">
        <f>$L$12*Table53[[#This Row],[Locality''s Allocation Percentage ]]</f>
        <v>22273.892630882776</v>
      </c>
      <c r="AU53" s="61">
        <f>$L$13*Table53[[#This Row],[Locality''s Allocation Percentage ]]</f>
        <v>22407.576293075443</v>
      </c>
      <c r="AV53" s="61">
        <f>$L$14*Table53[[#This Row],[Locality''s Allocation Percentage ]]</f>
        <v>20839.477288181239</v>
      </c>
      <c r="AW53" s="61">
        <f>$L$15*Table53[[#This Row],[Locality''s Allocation Percentage ]]</f>
        <v>19277.0786572912</v>
      </c>
      <c r="AX53" s="61">
        <f>$L$16*Table53[[#This Row],[Locality''s Allocation Percentage ]]</f>
        <v>17651.857664743915</v>
      </c>
      <c r="AY53" s="61">
        <f>$L$17*Table53[[#This Row],[Locality''s Allocation Percentage ]]</f>
        <v>13781.372093808208</v>
      </c>
      <c r="AZ53" s="61">
        <f>$L$18*Table53[[#This Row],[Locality''s Allocation Percentage ]]</f>
        <v>13781.372093808208</v>
      </c>
      <c r="BA53" s="61">
        <f>$L$19*Table53[[#This Row],[Locality''s Allocation Percentage ]]</f>
        <v>13781.372093808208</v>
      </c>
      <c r="BB53" s="61">
        <f>$L$20*Table53[[#This Row],[Locality''s Allocation Percentage ]]</f>
        <v>11390.755922326498</v>
      </c>
      <c r="BC53" s="61">
        <f>$L$21*Table53[[#This Row],[Locality''s Allocation Percentage ]]</f>
        <v>11390.755922326498</v>
      </c>
      <c r="BD53" s="61">
        <f>$L$22*Table53[[#This Row],[Locality''s Allocation Percentage ]]</f>
        <v>8221.4095249425263</v>
      </c>
      <c r="BE53" s="61"/>
      <c r="BF53" s="61">
        <f t="shared" si="3"/>
        <v>0</v>
      </c>
      <c r="BG53" s="61">
        <f t="shared" si="3"/>
        <v>9873.7761534585625</v>
      </c>
      <c r="BH53" s="61">
        <f t="shared" si="40"/>
        <v>11429.403865474238</v>
      </c>
      <c r="BI53" s="61">
        <f t="shared" si="41"/>
        <v>4450.7719664275546</v>
      </c>
      <c r="BJ53" s="61">
        <f t="shared" si="42"/>
        <v>4883.19941002205</v>
      </c>
      <c r="BK53" s="61">
        <f t="shared" si="43"/>
        <v>5202.3270059452798</v>
      </c>
      <c r="BL53" s="61">
        <f t="shared" si="44"/>
        <v>3915.4552620033655</v>
      </c>
      <c r="BM53" s="61">
        <f t="shared" si="45"/>
        <v>5568.473157720694</v>
      </c>
      <c r="BN53" s="61">
        <f t="shared" si="46"/>
        <v>5601.8940732688607</v>
      </c>
      <c r="BO53" s="61">
        <f t="shared" si="47"/>
        <v>5209.8693220453097</v>
      </c>
      <c r="BP53" s="61">
        <f t="shared" si="48"/>
        <v>4819.2696643228001</v>
      </c>
      <c r="BQ53" s="61">
        <f t="shared" si="49"/>
        <v>4412.9644161859787</v>
      </c>
      <c r="BR53" s="61">
        <f t="shared" si="50"/>
        <v>3445.343023452052</v>
      </c>
      <c r="BS53" s="61">
        <f t="shared" si="51"/>
        <v>3445.343023452052</v>
      </c>
      <c r="BT53" s="61">
        <f t="shared" si="52"/>
        <v>3445.343023452052</v>
      </c>
      <c r="BU53" s="61">
        <f t="shared" si="53"/>
        <v>2847.6889805816245</v>
      </c>
      <c r="BV53" s="61">
        <f t="shared" si="54"/>
        <v>2847.6889805816245</v>
      </c>
      <c r="BW53" s="61">
        <f t="shared" si="37"/>
        <v>2055.3523812356316</v>
      </c>
      <c r="BX53" s="61"/>
      <c r="BY53" s="61">
        <f>($C$6+$D$6+$E$6)*Table53[[#This Row],[Locality''s Allocation Percentage ]]</f>
        <v>109146.97663055206</v>
      </c>
      <c r="BZ53" s="61">
        <f>$L$6*Table53[[#This Row],[Locality''s Allocation Percentage ]]</f>
        <v>39495.10461383425</v>
      </c>
      <c r="CA53" s="61">
        <f t="shared" si="4"/>
        <v>9873.7761534585625</v>
      </c>
      <c r="CB53" s="76">
        <f>($C$7+$D$7+$E$7)*Table53[[#This Row],[Locality''s Allocation Percentage ]]</f>
        <v>39362.64412294951</v>
      </c>
      <c r="CC53" s="76">
        <f>$L$7*Table53[[#This Row],[Locality''s Allocation Percentage ]]</f>
        <v>45717.615461896952</v>
      </c>
      <c r="CD53" s="76">
        <f t="shared" si="5"/>
        <v>11429.403865474238</v>
      </c>
    </row>
    <row r="54" spans="2:82" s="19" customFormat="1" ht="18" customHeight="1" x14ac:dyDescent="0.25">
      <c r="B54" s="19" t="s">
        <v>327</v>
      </c>
      <c r="C54" s="35">
        <f>C52-C53</f>
        <v>-10553993.43478179</v>
      </c>
      <c r="D54" s="35">
        <f t="shared" ref="D54:L54" si="69">D52-D53</f>
        <v>-2031527.1759934127</v>
      </c>
      <c r="E54" s="35">
        <f t="shared" si="69"/>
        <v>0</v>
      </c>
      <c r="F54" s="35">
        <f t="shared" si="69"/>
        <v>-964439.61272726953</v>
      </c>
      <c r="G54" s="35">
        <f t="shared" si="69"/>
        <v>-542120.12636364251</v>
      </c>
      <c r="H54" s="35">
        <f t="shared" si="69"/>
        <v>-468963.6281818226</v>
      </c>
      <c r="I54" s="35">
        <f t="shared" si="69"/>
        <v>-819021.41454546154</v>
      </c>
      <c r="J54" s="35">
        <f t="shared" si="69"/>
        <v>-916443.88545455039</v>
      </c>
      <c r="K54" s="35"/>
      <c r="L54" s="35">
        <f t="shared" si="69"/>
        <v>-9113789.9507747889</v>
      </c>
      <c r="P54" s="36" t="s">
        <v>257</v>
      </c>
      <c r="Q54" s="37">
        <v>2.2500225002249998E-3</v>
      </c>
      <c r="S54" s="22" t="s">
        <v>119</v>
      </c>
      <c r="T54" s="61">
        <f>($C$5+$D$5+$E$5+$F$5+$G$5+$H$5+$I$5+$J$5+$K$5)*Table53[[#This Row],[Locality''s Allocation Percentage ]]</f>
        <v>9149.2871581191157</v>
      </c>
      <c r="U54" s="61">
        <f>($C$6+$D$6+$E$6+$F$6+$G$6+$H$6+$I$6+$J$6+$K$6)*Table53[[#This Row],[Locality''s Allocation Percentage ]]</f>
        <v>57919.975806307106</v>
      </c>
      <c r="V54" s="61">
        <f>($C$7+$D$7+$E$7+$F$7+$G$7+$H$7+$I$7+$J$7+$K$7)*Table53[[#This Row],[Locality''s Allocation Percentage ]]</f>
        <v>71430.150722959137</v>
      </c>
      <c r="W54" s="61">
        <f>($C$8+$D$8+$E$8+$F$8+$G$8+$H$8+$I$8+$J$8+$K$8)*Table53[[#This Row],[Locality''s Allocation Percentage ]]</f>
        <v>27393.304670108238</v>
      </c>
      <c r="X54" s="61">
        <f>($C$9+$D$9+$E$9+$F$9+$G$9+$H$9+$I$9+$J$9+$K$9)*Table53[[#This Row],[Locality''s Allocation Percentage ]]</f>
        <v>29435.876122116417</v>
      </c>
      <c r="Y54" s="61">
        <f>($C$10+$D$10+$E$10+$F$10+$G$10+$H$10+$I$10+$J$10+$K$10)*Table53[[#This Row],[Locality''s Allocation Percentage ]]</f>
        <v>31283.312890968733</v>
      </c>
      <c r="Z54" s="61">
        <f>($C$11+$D$11+$E$11+$F$11+$G$11+$H$11+$I$11+$J$11+$K$11)*Table53[[#This Row],[Locality''s Allocation Percentage ]]</f>
        <v>23833.583670035699</v>
      </c>
      <c r="AA54" s="61">
        <f>($C$12+$D$12+$E$12+$F$12+$G$12+$H$12+$I$12+$J$12+$K$12)*Table53[[#This Row],[Locality''s Allocation Percentage ]]</f>
        <v>33402.941128090555</v>
      </c>
      <c r="AB54" s="61">
        <f>($C$13+$D$13+$E$13+$F$13+$G$13+$H$13+$I$13+$J$13+$K$13)*Table53[[#This Row],[Locality''s Allocation Percentage ]]</f>
        <v>33554.922355865383</v>
      </c>
      <c r="AC54" s="61">
        <f>($C$14+$D$14+$E$14+$F$14+$G$14+$H$14+$I$14+$J$14+$K$14)*Table53[[#This Row],[Locality''s Allocation Percentage ]]</f>
        <v>31417.236241456412</v>
      </c>
      <c r="AD54" s="61">
        <f>($C$15+$D$15+$E$15+$F$15+$G$15+$H$15+$I$15+$J$15+$K$15)*Table53[[#This Row],[Locality''s Allocation Percentage ]]</f>
        <v>29155.387596182612</v>
      </c>
      <c r="AE54" s="61">
        <f>($C$16+$D$16+$E$16+$F$16+$G$16+$H$16+$I$16+$J$16+$K$16)*Table53[[#This Row],[Locality''s Allocation Percentage ]]</f>
        <v>26803.277454738753</v>
      </c>
      <c r="AF54" s="61">
        <f>($C$17+$D$17+$E$17+$F$17+$G$17+$H$17+$I$17+$J$17+$K$17)*Table53[[#This Row],[Locality''s Allocation Percentage ]]</f>
        <v>20454.818059872079</v>
      </c>
      <c r="AG54" s="61">
        <f>($C$18+$D$18+$E$18+$F$18+$G$18+$H$18+$I$18+$J$18+$K$18)*Table53[[#This Row],[Locality''s Allocation Percentage ]]</f>
        <v>20454.818059872079</v>
      </c>
      <c r="AH54" s="61">
        <f>($C$19+$D$19+$E$19+$F$19+$G$19+$H$19+$I$19+$J$19+$K$19)*Table53[[#This Row],[Locality''s Allocation Percentage ]]</f>
        <v>20454.818059872079</v>
      </c>
      <c r="AI54" s="61">
        <f>($C$20+$D$20+$E$20+$F$20+$G$20+$H$20+$I$20+$J$20+$K$20)*Table53[[#This Row],[Locality''s Allocation Percentage ]]</f>
        <v>16994.985478932638</v>
      </c>
      <c r="AJ54" s="61">
        <f>($C$21+$D$21+$E$21+$F$21+$G$21+$H$21+$I$21+$J$21+$K$21)*Table53[[#This Row],[Locality''s Allocation Percentage ]]</f>
        <v>16994.985478932638</v>
      </c>
      <c r="AK54" s="61">
        <f>($C$22+$D$22+$E$22+$F$22+$G$22+$H$22+$I$22+$J$22+$K$22)*Table53[[#This Row],[Locality''s Allocation Percentage ]]</f>
        <v>11898.480766158245</v>
      </c>
      <c r="AL54" s="61"/>
      <c r="AM54" s="61"/>
      <c r="AN54" s="61">
        <f>$L$6*Table53[[#This Row],[Locality''s Allocation Percentage ]]</f>
        <v>20958.487118190344</v>
      </c>
      <c r="AO54" s="61">
        <f>$L$7*Table53[[#This Row],[Locality''s Allocation Percentage ]]</f>
        <v>24260.5270729406</v>
      </c>
      <c r="AP54" s="61">
        <f>$L$8*Table53[[#This Row],[Locality''s Allocation Percentage ]]</f>
        <v>9447.3933249641486</v>
      </c>
      <c r="AQ54" s="61">
        <f>$L$9*Table53[[#This Row],[Locality''s Allocation Percentage ]]</f>
        <v>10365.281766556238</v>
      </c>
      <c r="AR54" s="61">
        <f>$L$10*Table53[[#This Row],[Locality''s Allocation Percentage ]]</f>
        <v>11042.675248468753</v>
      </c>
      <c r="AS54" s="61">
        <f>$L$11*Table53[[#This Row],[Locality''s Allocation Percentage ]]</f>
        <v>8311.1078674599739</v>
      </c>
      <c r="AT54" s="61">
        <f>$L$12*Table53[[#This Row],[Locality''s Allocation Percentage ]]</f>
        <v>11819.872268746756</v>
      </c>
      <c r="AU54" s="61">
        <f>$L$13*Table53[[#This Row],[Locality''s Allocation Percentage ]]</f>
        <v>11890.812891372581</v>
      </c>
      <c r="AV54" s="61">
        <f>$L$14*Table53[[#This Row],[Locality''s Allocation Percentage ]]</f>
        <v>11058.68488169995</v>
      </c>
      <c r="AW54" s="61">
        <f>$L$15*Table53[[#This Row],[Locality''s Allocation Percentage ]]</f>
        <v>10229.581834647453</v>
      </c>
      <c r="AX54" s="61">
        <f>$L$16*Table53[[#This Row],[Locality''s Allocation Percentage ]]</f>
        <v>9367.1414494513701</v>
      </c>
      <c r="AY54" s="61">
        <f>$L$17*Table53[[#This Row],[Locality''s Allocation Percentage ]]</f>
        <v>7313.2281158180349</v>
      </c>
      <c r="AZ54" s="61">
        <f>$L$18*Table53[[#This Row],[Locality''s Allocation Percentage ]]</f>
        <v>7313.2281158180349</v>
      </c>
      <c r="BA54" s="61">
        <f>$L$19*Table53[[#This Row],[Locality''s Allocation Percentage ]]</f>
        <v>7313.2281158180349</v>
      </c>
      <c r="BB54" s="61">
        <f>$L$20*Table53[[#This Row],[Locality''s Allocation Percentage ]]</f>
        <v>6044.62283614024</v>
      </c>
      <c r="BC54" s="61">
        <f>$L$21*Table53[[#This Row],[Locality''s Allocation Percentage ]]</f>
        <v>6044.62283614024</v>
      </c>
      <c r="BD54" s="61">
        <f>$L$22*Table53[[#This Row],[Locality''s Allocation Percentage ]]</f>
        <v>4362.7762809246897</v>
      </c>
      <c r="BE54" s="61"/>
      <c r="BF54" s="61">
        <f t="shared" si="3"/>
        <v>0</v>
      </c>
      <c r="BG54" s="61">
        <f t="shared" si="3"/>
        <v>5239.6217795475859</v>
      </c>
      <c r="BH54" s="61">
        <f t="shared" si="40"/>
        <v>6065.13176823515</v>
      </c>
      <c r="BI54" s="61">
        <f t="shared" si="41"/>
        <v>2361.8483312410372</v>
      </c>
      <c r="BJ54" s="61">
        <f t="shared" si="42"/>
        <v>2591.3204416390595</v>
      </c>
      <c r="BK54" s="61">
        <f t="shared" si="43"/>
        <v>2760.6688121171883</v>
      </c>
      <c r="BL54" s="61">
        <f t="shared" si="44"/>
        <v>2077.7769668649935</v>
      </c>
      <c r="BM54" s="61">
        <f t="shared" si="45"/>
        <v>2954.968067186689</v>
      </c>
      <c r="BN54" s="61">
        <f t="shared" si="46"/>
        <v>2972.7032228431453</v>
      </c>
      <c r="BO54" s="61">
        <f t="shared" si="47"/>
        <v>2764.6712204249875</v>
      </c>
      <c r="BP54" s="61">
        <f t="shared" si="48"/>
        <v>2557.3954586618634</v>
      </c>
      <c r="BQ54" s="61">
        <f t="shared" si="49"/>
        <v>2341.7853623628425</v>
      </c>
      <c r="BR54" s="61">
        <f t="shared" si="50"/>
        <v>1828.3070289545087</v>
      </c>
      <c r="BS54" s="61">
        <f t="shared" si="51"/>
        <v>1828.3070289545087</v>
      </c>
      <c r="BT54" s="61">
        <f t="shared" si="52"/>
        <v>1828.3070289545087</v>
      </c>
      <c r="BU54" s="61">
        <f t="shared" si="53"/>
        <v>1511.15570903506</v>
      </c>
      <c r="BV54" s="61">
        <f t="shared" si="54"/>
        <v>1511.15570903506</v>
      </c>
      <c r="BW54" s="61">
        <f t="shared" si="37"/>
        <v>1090.6940702311724</v>
      </c>
      <c r="BX54" s="61"/>
      <c r="BY54" s="61">
        <f>($C$6+$D$6+$E$6)*Table53[[#This Row],[Locality''s Allocation Percentage ]]</f>
        <v>57919.975806307106</v>
      </c>
      <c r="BZ54" s="61">
        <f>$L$6*Table53[[#This Row],[Locality''s Allocation Percentage ]]</f>
        <v>20958.487118190344</v>
      </c>
      <c r="CA54" s="61">
        <f t="shared" si="4"/>
        <v>5239.6217795475859</v>
      </c>
      <c r="CB54" s="76">
        <f>($C$7+$D$7+$E$7)*Table53[[#This Row],[Locality''s Allocation Percentage ]]</f>
        <v>20888.19558411236</v>
      </c>
      <c r="CC54" s="76">
        <f>$L$7*Table53[[#This Row],[Locality''s Allocation Percentage ]]</f>
        <v>24260.5270729406</v>
      </c>
      <c r="CD54" s="76">
        <f t="shared" si="5"/>
        <v>6065.13176823515</v>
      </c>
    </row>
    <row r="55" spans="2:82" s="19" customFormat="1" ht="18" customHeight="1" x14ac:dyDescent="0.25">
      <c r="B55" s="133" t="s">
        <v>328</v>
      </c>
      <c r="C55" s="133"/>
      <c r="D55" s="133"/>
      <c r="E55" s="133"/>
      <c r="F55" s="133"/>
      <c r="G55" s="133"/>
      <c r="H55" s="133"/>
      <c r="N55" s="19">
        <f>SUM(N49,N53)</f>
        <v>2872944.9899999998</v>
      </c>
      <c r="P55" s="36" t="s">
        <v>258</v>
      </c>
      <c r="Q55" s="37">
        <v>2.2400224002240001E-3</v>
      </c>
      <c r="S55" s="22" t="s">
        <v>120</v>
      </c>
      <c r="T55" s="61">
        <f>($C$5+$D$5+$E$5+$F$5+$G$5+$H$5+$I$5+$J$5+$K$5)*Table53[[#This Row],[Locality''s Allocation Percentage ]]</f>
        <v>9108.6236596385879</v>
      </c>
      <c r="U55" s="61">
        <f>($C$6+$D$6+$E$6+$F$6+$G$6+$H$6+$I$6+$J$6+$K$6)*Table53[[#This Row],[Locality''s Allocation Percentage ]]</f>
        <v>57662.553691612411</v>
      </c>
      <c r="V55" s="61">
        <f>($C$7+$D$7+$E$7+$F$7+$G$7+$H$7+$I$7+$J$7+$K$7)*Table53[[#This Row],[Locality''s Allocation Percentage ]]</f>
        <v>71112.683386412653</v>
      </c>
      <c r="W55" s="61">
        <f>($C$8+$D$8+$E$8+$F$8+$G$8+$H$8+$I$8+$J$8+$K$8)*Table53[[#This Row],[Locality''s Allocation Percentage ]]</f>
        <v>27271.556649352206</v>
      </c>
      <c r="X55" s="61">
        <f>($C$9+$D$9+$E$9+$F$9+$G$9+$H$9+$I$9+$J$9+$K$9)*Table53[[#This Row],[Locality''s Allocation Percentage ]]</f>
        <v>29305.050006018126</v>
      </c>
      <c r="Y55" s="61">
        <f>($C$10+$D$10+$E$10+$F$10+$G$10+$H$10+$I$10+$J$10+$K$10)*Table53[[#This Row],[Locality''s Allocation Percentage ]]</f>
        <v>31144.275944786652</v>
      </c>
      <c r="Z55" s="61">
        <f>($C$11+$D$11+$E$11+$F$11+$G$11+$H$11+$I$11+$J$11+$K$11)*Table53[[#This Row],[Locality''s Allocation Percentage ]]</f>
        <v>23727.65663150221</v>
      </c>
      <c r="AA55" s="61">
        <f>($C$12+$D$12+$E$12+$F$12+$G$12+$H$12+$I$12+$J$12+$K$12)*Table53[[#This Row],[Locality''s Allocation Percentage ]]</f>
        <v>33254.483611965712</v>
      </c>
      <c r="AB55" s="61">
        <f>($C$13+$D$13+$E$13+$F$13+$G$13+$H$13+$I$13+$J$13+$K$13)*Table53[[#This Row],[Locality''s Allocation Percentage ]]</f>
        <v>33405.789367617093</v>
      </c>
      <c r="AC55" s="61">
        <f>($C$14+$D$14+$E$14+$F$14+$G$14+$H$14+$I$14+$J$14+$K$14)*Table53[[#This Row],[Locality''s Allocation Percentage ]]</f>
        <v>31277.604080383277</v>
      </c>
      <c r="AD55" s="61">
        <f>($C$15+$D$15+$E$15+$F$15+$G$15+$H$15+$I$15+$J$15+$K$15)*Table53[[#This Row],[Locality''s Allocation Percentage ]]</f>
        <v>29025.808095755139</v>
      </c>
      <c r="AE55" s="61">
        <f>($C$16+$D$16+$E$16+$F$16+$G$16+$H$16+$I$16+$J$16+$K$16)*Table53[[#This Row],[Locality''s Allocation Percentage ]]</f>
        <v>26684.15177716214</v>
      </c>
      <c r="AF55" s="61">
        <f>($C$17+$D$17+$E$17+$F$17+$G$17+$H$17+$I$17+$J$17+$K$17)*Table53[[#This Row],[Locality''s Allocation Percentage ]]</f>
        <v>20363.907757383764</v>
      </c>
      <c r="AG55" s="61">
        <f>($C$18+$D$18+$E$18+$F$18+$G$18+$H$18+$I$18+$J$18+$K$18)*Table53[[#This Row],[Locality''s Allocation Percentage ]]</f>
        <v>20363.907757383764</v>
      </c>
      <c r="AH55" s="61">
        <f>($C$19+$D$19+$E$19+$F$19+$G$19+$H$19+$I$19+$J$19+$K$19)*Table53[[#This Row],[Locality''s Allocation Percentage ]]</f>
        <v>20363.907757383764</v>
      </c>
      <c r="AI55" s="61">
        <f>($C$20+$D$20+$E$20+$F$20+$G$20+$H$20+$I$20+$J$20+$K$20)*Table53[[#This Row],[Locality''s Allocation Percentage ]]</f>
        <v>16919.452210137384</v>
      </c>
      <c r="AJ55" s="61">
        <f>($C$21+$D$21+$E$21+$F$21+$G$21+$H$21+$I$21+$J$21+$K$21)*Table53[[#This Row],[Locality''s Allocation Percentage ]]</f>
        <v>16919.452210137384</v>
      </c>
      <c r="AK55" s="61">
        <f>($C$22+$D$22+$E$22+$F$22+$G$22+$H$22+$I$22+$J$22+$K$22)*Table53[[#This Row],[Locality''s Allocation Percentage ]]</f>
        <v>11845.598629419765</v>
      </c>
      <c r="AL55" s="61"/>
      <c r="AM55" s="61"/>
      <c r="AN55" s="61">
        <f>$L$6*Table53[[#This Row],[Locality''s Allocation Percentage ]]</f>
        <v>20865.338286553946</v>
      </c>
      <c r="AO55" s="61">
        <f>$L$7*Table53[[#This Row],[Locality''s Allocation Percentage ]]</f>
        <v>24152.702508171977</v>
      </c>
      <c r="AP55" s="61">
        <f>$L$8*Table53[[#This Row],[Locality''s Allocation Percentage ]]</f>
        <v>9405.4049101865312</v>
      </c>
      <c r="AQ55" s="61">
        <f>$L$9*Table53[[#This Row],[Locality''s Allocation Percentage ]]</f>
        <v>10319.213847593766</v>
      </c>
      <c r="AR55" s="61">
        <f>$L$10*Table53[[#This Row],[Locality''s Allocation Percentage ]]</f>
        <v>10993.596691808894</v>
      </c>
      <c r="AS55" s="61">
        <f>$L$11*Table53[[#This Row],[Locality''s Allocation Percentage ]]</f>
        <v>8274.1696102712631</v>
      </c>
      <c r="AT55" s="61">
        <f>$L$12*Table53[[#This Row],[Locality''s Allocation Percentage ]]</f>
        <v>11767.339503107884</v>
      </c>
      <c r="AU55" s="61">
        <f>$L$13*Table53[[#This Row],[Locality''s Allocation Percentage ]]</f>
        <v>11837.964834077595</v>
      </c>
      <c r="AV55" s="61">
        <f>$L$14*Table53[[#This Row],[Locality''s Allocation Percentage ]]</f>
        <v>11009.535171114618</v>
      </c>
      <c r="AW55" s="61">
        <f>$L$15*Table53[[#This Row],[Locality''s Allocation Percentage ]]</f>
        <v>10184.117026493466</v>
      </c>
      <c r="AX55" s="61">
        <f>$L$16*Table53[[#This Row],[Locality''s Allocation Percentage ]]</f>
        <v>9325.509709676031</v>
      </c>
      <c r="AY55" s="61">
        <f>$L$17*Table53[[#This Row],[Locality''s Allocation Percentage ]]</f>
        <v>7280.7248797477341</v>
      </c>
      <c r="AZ55" s="61">
        <f>$L$18*Table53[[#This Row],[Locality''s Allocation Percentage ]]</f>
        <v>7280.7248797477341</v>
      </c>
      <c r="BA55" s="61">
        <f>$L$19*Table53[[#This Row],[Locality''s Allocation Percentage ]]</f>
        <v>7280.7248797477341</v>
      </c>
      <c r="BB55" s="61">
        <f>$L$20*Table53[[#This Row],[Locality''s Allocation Percentage ]]</f>
        <v>6017.7578457573954</v>
      </c>
      <c r="BC55" s="61">
        <f>$L$21*Table53[[#This Row],[Locality''s Allocation Percentage ]]</f>
        <v>6017.7578457573954</v>
      </c>
      <c r="BD55" s="61">
        <f>$L$22*Table53[[#This Row],[Locality''s Allocation Percentage ]]</f>
        <v>4343.3861641205804</v>
      </c>
      <c r="BE55" s="61"/>
      <c r="BF55" s="61">
        <f t="shared" si="3"/>
        <v>0</v>
      </c>
      <c r="BG55" s="61">
        <f t="shared" si="3"/>
        <v>5216.3345716384865</v>
      </c>
      <c r="BH55" s="61">
        <f t="shared" si="40"/>
        <v>6038.1756270429942</v>
      </c>
      <c r="BI55" s="61">
        <f t="shared" si="41"/>
        <v>2351.3512275466328</v>
      </c>
      <c r="BJ55" s="61">
        <f t="shared" si="42"/>
        <v>2579.8034618984416</v>
      </c>
      <c r="BK55" s="61">
        <f t="shared" si="43"/>
        <v>2748.3991729522236</v>
      </c>
      <c r="BL55" s="61">
        <f t="shared" si="44"/>
        <v>2068.5424025678158</v>
      </c>
      <c r="BM55" s="61">
        <f t="shared" si="45"/>
        <v>2941.8348757769709</v>
      </c>
      <c r="BN55" s="61">
        <f t="shared" si="46"/>
        <v>2959.4912085193987</v>
      </c>
      <c r="BO55" s="61">
        <f t="shared" si="47"/>
        <v>2752.3837927786544</v>
      </c>
      <c r="BP55" s="61">
        <f t="shared" si="48"/>
        <v>2546.0292566233666</v>
      </c>
      <c r="BQ55" s="61">
        <f t="shared" si="49"/>
        <v>2331.3774274190077</v>
      </c>
      <c r="BR55" s="61">
        <f t="shared" si="50"/>
        <v>1820.1812199369335</v>
      </c>
      <c r="BS55" s="61">
        <f t="shared" si="51"/>
        <v>1820.1812199369335</v>
      </c>
      <c r="BT55" s="61">
        <f t="shared" si="52"/>
        <v>1820.1812199369335</v>
      </c>
      <c r="BU55" s="61">
        <f t="shared" si="53"/>
        <v>1504.4394614393489</v>
      </c>
      <c r="BV55" s="61">
        <f t="shared" si="54"/>
        <v>1504.4394614393489</v>
      </c>
      <c r="BW55" s="61">
        <f t="shared" si="37"/>
        <v>1085.8465410301451</v>
      </c>
      <c r="BX55" s="61"/>
      <c r="BY55" s="61">
        <f>($C$6+$D$6+$E$6)*Table53[[#This Row],[Locality''s Allocation Percentage ]]</f>
        <v>57662.553691612411</v>
      </c>
      <c r="BZ55" s="61">
        <f>$L$6*Table53[[#This Row],[Locality''s Allocation Percentage ]]</f>
        <v>20865.338286553946</v>
      </c>
      <c r="CA55" s="61">
        <f t="shared" si="4"/>
        <v>5216.3345716384865</v>
      </c>
      <c r="CB55" s="76">
        <f>($C$7+$D$7+$E$7)*Table53[[#This Row],[Locality''s Allocation Percentage ]]</f>
        <v>20795.359159294083</v>
      </c>
      <c r="CC55" s="76">
        <f>$L$7*Table53[[#This Row],[Locality''s Allocation Percentage ]]</f>
        <v>24152.702508171977</v>
      </c>
      <c r="CD55" s="76">
        <f t="shared" si="5"/>
        <v>6038.1756270429942</v>
      </c>
    </row>
    <row r="56" spans="2:82" s="19" customFormat="1" ht="18" customHeight="1" x14ac:dyDescent="0.25">
      <c r="B56" s="19" t="s">
        <v>329</v>
      </c>
      <c r="I56" s="35">
        <f>H36*0.55</f>
        <v>33633644.32</v>
      </c>
      <c r="K56" s="35">
        <f>3950495.63/0.55</f>
        <v>7182719.3272727262</v>
      </c>
      <c r="L56" s="53">
        <v>7592783.21</v>
      </c>
      <c r="P56" s="36" t="s">
        <v>259</v>
      </c>
      <c r="Q56" s="37">
        <v>1.7800178001780001E-3</v>
      </c>
      <c r="S56" s="22" t="s">
        <v>121</v>
      </c>
      <c r="T56" s="61">
        <f>($C$5+$D$5+$E$5+$F$5+$G$5+$H$5+$I$5+$J$5+$K$5)*Table53[[#This Row],[Locality''s Allocation Percentage ]]</f>
        <v>7238.1027295342346</v>
      </c>
      <c r="U56" s="61">
        <f>($C$6+$D$6+$E$6+$F$6+$G$6+$H$6+$I$6+$J$6+$K$6)*Table53[[#This Row],[Locality''s Allocation Percentage ]]</f>
        <v>45821.136415656292</v>
      </c>
      <c r="V56" s="61">
        <f>($C$7+$D$7+$E$7+$F$7+$G$7+$H$7+$I$7+$J$7+$K$7)*Table53[[#This Row],[Locality''s Allocation Percentage ]]</f>
        <v>56509.185905274346</v>
      </c>
      <c r="W56" s="61">
        <f>($C$8+$D$8+$E$8+$F$8+$G$8+$H$8+$I$8+$J$8+$K$8)*Table53[[#This Row],[Locality''s Allocation Percentage ]]</f>
        <v>21671.14769457452</v>
      </c>
      <c r="X56" s="61">
        <f>($C$9+$D$9+$E$9+$F$9+$G$9+$H$9+$I$9+$J$9+$K$9)*Table53[[#This Row],[Locality''s Allocation Percentage ]]</f>
        <v>23287.048665496546</v>
      </c>
      <c r="Y56" s="61">
        <f>($C$10+$D$10+$E$10+$F$10+$G$10+$H$10+$I$10+$J$10+$K$10)*Table53[[#This Row],[Locality''s Allocation Percentage ]]</f>
        <v>24748.576420410824</v>
      </c>
      <c r="Z56" s="61">
        <f>($C$11+$D$11+$E$11+$F$11+$G$11+$H$11+$I$11+$J$11+$K$11)*Table53[[#This Row],[Locality''s Allocation Percentage ]]</f>
        <v>18855.012858961578</v>
      </c>
      <c r="AA56" s="61">
        <f>($C$12+$D$12+$E$12+$F$12+$G$12+$H$12+$I$12+$J$12+$K$12)*Table53[[#This Row],[Locality''s Allocation Percentage ]]</f>
        <v>26425.437870222755</v>
      </c>
      <c r="AB56" s="61">
        <f>($C$13+$D$13+$E$13+$F$13+$G$13+$H$13+$I$13+$J$13+$K$13)*Table53[[#This Row],[Locality''s Allocation Percentage ]]</f>
        <v>26545.671908195727</v>
      </c>
      <c r="AC56" s="61">
        <f>($C$14+$D$14+$E$14+$F$14+$G$14+$H$14+$I$14+$J$14+$K$14)*Table53[[#This Row],[Locality''s Allocation Percentage ]]</f>
        <v>24854.524671018851</v>
      </c>
      <c r="AD56" s="61">
        <f>($C$15+$D$15+$E$15+$F$15+$G$15+$H$15+$I$15+$J$15+$K$15)*Table53[[#This Row],[Locality''s Allocation Percentage ]]</f>
        <v>23065.151076091137</v>
      </c>
      <c r="AE56" s="61">
        <f>($C$16+$D$16+$E$16+$F$16+$G$16+$H$16+$I$16+$J$16+$K$16)*Table53[[#This Row],[Locality''s Allocation Percentage ]]</f>
        <v>21204.370608637772</v>
      </c>
      <c r="AF56" s="61">
        <f>($C$17+$D$17+$E$17+$F$17+$G$17+$H$17+$I$17+$J$17+$K$17)*Table53[[#This Row],[Locality''s Allocation Percentage ]]</f>
        <v>16182.033842921026</v>
      </c>
      <c r="AG56" s="61">
        <f>($C$18+$D$18+$E$18+$F$18+$G$18+$H$18+$I$18+$J$18+$K$18)*Table53[[#This Row],[Locality''s Allocation Percentage ]]</f>
        <v>16182.033842921026</v>
      </c>
      <c r="AH56" s="61">
        <f>($C$19+$D$19+$E$19+$F$19+$G$19+$H$19+$I$19+$J$19+$K$19)*Table53[[#This Row],[Locality''s Allocation Percentage ]]</f>
        <v>16182.033842921026</v>
      </c>
      <c r="AI56" s="61">
        <f>($C$20+$D$20+$E$20+$F$20+$G$20+$H$20+$I$20+$J$20+$K$20)*Table53[[#This Row],[Locality''s Allocation Percentage ]]</f>
        <v>13444.9218455556</v>
      </c>
      <c r="AJ56" s="61">
        <f>($C$21+$D$21+$E$21+$F$21+$G$21+$H$21+$I$21+$J$21+$K$21)*Table53[[#This Row],[Locality''s Allocation Percentage ]]</f>
        <v>13444.9218455556</v>
      </c>
      <c r="AK56" s="61">
        <f>($C$22+$D$22+$E$22+$F$22+$G$22+$H$22+$I$22+$J$22+$K$22)*Table53[[#This Row],[Locality''s Allocation Percentage ]]</f>
        <v>9413.0203394496348</v>
      </c>
      <c r="AL56" s="61"/>
      <c r="AM56" s="61"/>
      <c r="AN56" s="61">
        <f>$L$6*Table53[[#This Row],[Locality''s Allocation Percentage ]]</f>
        <v>16580.492031279475</v>
      </c>
      <c r="AO56" s="61">
        <f>$L$7*Table53[[#This Row],[Locality''s Allocation Percentage ]]</f>
        <v>19192.772528815232</v>
      </c>
      <c r="AP56" s="61">
        <f>$L$8*Table53[[#This Row],[Locality''s Allocation Percentage ]]</f>
        <v>7473.9378304160828</v>
      </c>
      <c r="AQ56" s="61">
        <f>$L$9*Table53[[#This Row],[Locality''s Allocation Percentage ]]</f>
        <v>8200.0895753200475</v>
      </c>
      <c r="AR56" s="61">
        <f>$L$10*Table53[[#This Row],[Locality''s Allocation Percentage ]]</f>
        <v>8735.983085455282</v>
      </c>
      <c r="AS56" s="61">
        <f>$L$11*Table53[[#This Row],[Locality''s Allocation Percentage ]]</f>
        <v>6575.0097795905576</v>
      </c>
      <c r="AT56" s="61">
        <f>$L$12*Table53[[#This Row],[Locality''s Allocation Percentage ]]</f>
        <v>9350.8322837196574</v>
      </c>
      <c r="AU56" s="61">
        <f>$L$13*Table53[[#This Row],[Locality''s Allocation Percentage ]]</f>
        <v>9406.9541985080887</v>
      </c>
      <c r="AV56" s="61">
        <f>$L$14*Table53[[#This Row],[Locality''s Allocation Percentage ]]</f>
        <v>8748.6484841892943</v>
      </c>
      <c r="AW56" s="61">
        <f>$L$15*Table53[[#This Row],[Locality''s Allocation Percentage ]]</f>
        <v>8092.735851409986</v>
      </c>
      <c r="AX56" s="61">
        <f>$L$16*Table53[[#This Row],[Locality''s Allocation Percentage ]]</f>
        <v>7410.449680010418</v>
      </c>
      <c r="AY56" s="61">
        <f>$L$17*Table53[[#This Row],[Locality''s Allocation Percentage ]]</f>
        <v>5785.576020513824</v>
      </c>
      <c r="AZ56" s="61">
        <f>$L$18*Table53[[#This Row],[Locality''s Allocation Percentage ]]</f>
        <v>5785.576020513824</v>
      </c>
      <c r="BA56" s="61">
        <f>$L$19*Table53[[#This Row],[Locality''s Allocation Percentage ]]</f>
        <v>5785.576020513824</v>
      </c>
      <c r="BB56" s="61">
        <f>$L$20*Table53[[#This Row],[Locality''s Allocation Percentage ]]</f>
        <v>4781.9682881465014</v>
      </c>
      <c r="BC56" s="61">
        <f>$L$21*Table53[[#This Row],[Locality''s Allocation Percentage ]]</f>
        <v>4781.9682881465014</v>
      </c>
      <c r="BD56" s="61">
        <f>$L$22*Table53[[#This Row],[Locality''s Allocation Percentage ]]</f>
        <v>3451.4407911315325</v>
      </c>
      <c r="BE56" s="61"/>
      <c r="BF56" s="61">
        <f t="shared" si="3"/>
        <v>0</v>
      </c>
      <c r="BG56" s="61">
        <f t="shared" si="3"/>
        <v>4145.1230078198687</v>
      </c>
      <c r="BH56" s="61">
        <f t="shared" si="40"/>
        <v>4798.1931322038081</v>
      </c>
      <c r="BI56" s="61">
        <f t="shared" si="41"/>
        <v>1868.4844576040207</v>
      </c>
      <c r="BJ56" s="61">
        <f t="shared" si="42"/>
        <v>2050.0223938300119</v>
      </c>
      <c r="BK56" s="61">
        <f t="shared" si="43"/>
        <v>2183.9957713638205</v>
      </c>
      <c r="BL56" s="61">
        <f t="shared" si="44"/>
        <v>1643.7524448976394</v>
      </c>
      <c r="BM56" s="61">
        <f t="shared" si="45"/>
        <v>2337.7080709299144</v>
      </c>
      <c r="BN56" s="61">
        <f t="shared" si="46"/>
        <v>2351.7385496270222</v>
      </c>
      <c r="BO56" s="61">
        <f t="shared" si="47"/>
        <v>2187.1621210473236</v>
      </c>
      <c r="BP56" s="61">
        <f t="shared" si="48"/>
        <v>2023.1839628524965</v>
      </c>
      <c r="BQ56" s="61">
        <f t="shared" si="49"/>
        <v>1852.6124200026045</v>
      </c>
      <c r="BR56" s="61">
        <f t="shared" si="50"/>
        <v>1446.394005128456</v>
      </c>
      <c r="BS56" s="61">
        <f t="shared" si="51"/>
        <v>1446.394005128456</v>
      </c>
      <c r="BT56" s="61">
        <f t="shared" si="52"/>
        <v>1446.394005128456</v>
      </c>
      <c r="BU56" s="61">
        <f t="shared" si="53"/>
        <v>1195.4920720366254</v>
      </c>
      <c r="BV56" s="61">
        <f t="shared" si="54"/>
        <v>1195.4920720366254</v>
      </c>
      <c r="BW56" s="61">
        <f t="shared" si="37"/>
        <v>862.86019778288312</v>
      </c>
      <c r="BX56" s="61"/>
      <c r="BY56" s="61">
        <f>($C$6+$D$6+$E$6)*Table53[[#This Row],[Locality''s Allocation Percentage ]]</f>
        <v>45821.136415656292</v>
      </c>
      <c r="BZ56" s="61">
        <f>$L$6*Table53[[#This Row],[Locality''s Allocation Percentage ]]</f>
        <v>16580.492031279475</v>
      </c>
      <c r="CA56" s="61">
        <f t="shared" si="4"/>
        <v>4145.1230078198687</v>
      </c>
      <c r="CB56" s="76">
        <f>($C$7+$D$7+$E$7)*Table53[[#This Row],[Locality''s Allocation Percentage ]]</f>
        <v>16524.883617653333</v>
      </c>
      <c r="CC56" s="76">
        <f>$L$7*Table53[[#This Row],[Locality''s Allocation Percentage ]]</f>
        <v>19192.772528815232</v>
      </c>
      <c r="CD56" s="76">
        <f t="shared" si="5"/>
        <v>4798.1931322038081</v>
      </c>
    </row>
    <row r="57" spans="2:82" s="19" customFormat="1" ht="18" customHeight="1" x14ac:dyDescent="0.25">
      <c r="B57" s="134" t="s">
        <v>330</v>
      </c>
      <c r="C57" s="135"/>
      <c r="L57" s="53"/>
      <c r="P57" s="36" t="s">
        <v>260</v>
      </c>
      <c r="Q57" s="37">
        <v>1.2400124001240001E-3</v>
      </c>
      <c r="S57" s="22" t="s">
        <v>122</v>
      </c>
      <c r="T57" s="61">
        <f>($C$5+$D$5+$E$5+$F$5+$G$5+$H$5+$I$5+$J$5+$K$5)*Table53[[#This Row],[Locality''s Allocation Percentage ]]</f>
        <v>5042.2738115856464</v>
      </c>
      <c r="U57" s="61">
        <f>($C$6+$D$6+$E$6+$F$6+$G$6+$H$6+$I$6+$J$6+$K$6)*Table53[[#This Row],[Locality''s Allocation Percentage ]]</f>
        <v>31920.342222142586</v>
      </c>
      <c r="V57" s="61">
        <f>($C$7+$D$7+$E$7+$F$7+$G$7+$H$7+$I$7+$J$7+$K$7)*Table53[[#This Row],[Locality''s Allocation Percentage ]]</f>
        <v>39365.949731764151</v>
      </c>
      <c r="W57" s="61">
        <f>($C$8+$D$8+$E$8+$F$8+$G$8+$H$8+$I$8+$J$8+$K$8)*Table53[[#This Row],[Locality''s Allocation Percentage ]]</f>
        <v>15096.754573748542</v>
      </c>
      <c r="X57" s="61">
        <f>($C$9+$D$9+$E$9+$F$9+$G$9+$H$9+$I$9+$J$9+$K$9)*Table53[[#This Row],[Locality''s Allocation Percentage ]]</f>
        <v>16222.438396188605</v>
      </c>
      <c r="Y57" s="61">
        <f>($C$10+$D$10+$E$10+$F$10+$G$10+$H$10+$I$10+$J$10+$K$10)*Table53[[#This Row],[Locality''s Allocation Percentage ]]</f>
        <v>17240.581326578325</v>
      </c>
      <c r="Z57" s="61">
        <f>($C$11+$D$11+$E$11+$F$11+$G$11+$H$11+$I$11+$J$11+$K$11)*Table53[[#This Row],[Locality''s Allocation Percentage ]]</f>
        <v>13134.952778153009</v>
      </c>
      <c r="AA57" s="61">
        <f>($C$12+$D$12+$E$12+$F$12+$G$12+$H$12+$I$12+$J$12+$K$12)*Table53[[#This Row],[Locality''s Allocation Percentage ]]</f>
        <v>18408.73199948102</v>
      </c>
      <c r="AB57" s="61">
        <f>($C$13+$D$13+$E$13+$F$13+$G$13+$H$13+$I$13+$J$13+$K$13)*Table53[[#This Row],[Locality''s Allocation Percentage ]]</f>
        <v>18492.490542788033</v>
      </c>
      <c r="AC57" s="61">
        <f>($C$14+$D$14+$E$14+$F$14+$G$14+$H$14+$I$14+$J$14+$K$14)*Table53[[#This Row],[Locality''s Allocation Percentage ]]</f>
        <v>17314.387973069315</v>
      </c>
      <c r="AD57" s="61">
        <f>($C$15+$D$15+$E$15+$F$15+$G$15+$H$15+$I$15+$J$15+$K$15)*Table53[[#This Row],[Locality''s Allocation Percentage ]]</f>
        <v>16067.858053007309</v>
      </c>
      <c r="AE57" s="61">
        <f>($C$16+$D$16+$E$16+$F$16+$G$16+$H$16+$I$16+$J$16+$K$16)*Table53[[#This Row],[Locality''s Allocation Percentage ]]</f>
        <v>14771.584019500469</v>
      </c>
      <c r="AF57" s="61">
        <f>($C$17+$D$17+$E$17+$F$17+$G$17+$H$17+$I$17+$J$17+$K$17)*Table53[[#This Row],[Locality''s Allocation Percentage ]]</f>
        <v>11272.877508551726</v>
      </c>
      <c r="AG57" s="61">
        <f>($C$18+$D$18+$E$18+$F$18+$G$18+$H$18+$I$18+$J$18+$K$18)*Table53[[#This Row],[Locality''s Allocation Percentage ]]</f>
        <v>11272.877508551726</v>
      </c>
      <c r="AH57" s="61">
        <f>($C$19+$D$19+$E$19+$F$19+$G$19+$H$19+$I$19+$J$19+$K$19)*Table53[[#This Row],[Locality''s Allocation Percentage ]]</f>
        <v>11272.877508551726</v>
      </c>
      <c r="AI57" s="61">
        <f>($C$20+$D$20+$E$20+$F$20+$G$20+$H$20+$I$20+$J$20+$K$20)*Table53[[#This Row],[Locality''s Allocation Percentage ]]</f>
        <v>9366.1253306117669</v>
      </c>
      <c r="AJ57" s="61">
        <f>($C$21+$D$21+$E$21+$F$21+$G$21+$H$21+$I$21+$J$21+$K$21)*Table53[[#This Row],[Locality''s Allocation Percentage ]]</f>
        <v>9366.1253306117669</v>
      </c>
      <c r="AK57" s="61">
        <f>($C$22+$D$22+$E$22+$F$22+$G$22+$H$22+$I$22+$J$22+$K$22)*Table53[[#This Row],[Locality''s Allocation Percentage ]]</f>
        <v>6557.3849555716561</v>
      </c>
      <c r="AL57" s="61"/>
      <c r="AM57" s="61"/>
      <c r="AN57" s="61">
        <f>$L$6*Table53[[#This Row],[Locality''s Allocation Percentage ]]</f>
        <v>11550.455122913791</v>
      </c>
      <c r="AO57" s="61">
        <f>$L$7*Table53[[#This Row],[Locality''s Allocation Percentage ]]</f>
        <v>13370.246031309487</v>
      </c>
      <c r="AP57" s="61">
        <f>$L$8*Table53[[#This Row],[Locality''s Allocation Percentage ]]</f>
        <v>5206.5634324246867</v>
      </c>
      <c r="AQ57" s="61">
        <f>$L$9*Table53[[#This Row],[Locality''s Allocation Percentage ]]</f>
        <v>5712.4219513465496</v>
      </c>
      <c r="AR57" s="61">
        <f>$L$10*Table53[[#This Row],[Locality''s Allocation Percentage ]]</f>
        <v>6085.741025822781</v>
      </c>
      <c r="AS57" s="61">
        <f>$L$11*Table53[[#This Row],[Locality''s Allocation Percentage ]]</f>
        <v>4580.3438914001636</v>
      </c>
      <c r="AT57" s="61">
        <f>$L$12*Table53[[#This Row],[Locality''s Allocation Percentage ]]</f>
        <v>6514.0629392204355</v>
      </c>
      <c r="AU57" s="61">
        <f>$L$13*Table53[[#This Row],[Locality''s Allocation Percentage ]]</f>
        <v>6553.1591045786681</v>
      </c>
      <c r="AV57" s="61">
        <f>$L$14*Table53[[#This Row],[Locality''s Allocation Percentage ]]</f>
        <v>6094.5641125813072</v>
      </c>
      <c r="AW57" s="61">
        <f>$L$15*Table53[[#This Row],[Locality''s Allocation Percentage ]]</f>
        <v>5637.6362110945975</v>
      </c>
      <c r="AX57" s="61">
        <f>$L$16*Table53[[#This Row],[Locality''s Allocation Percentage ]]</f>
        <v>5162.335732142089</v>
      </c>
      <c r="AY57" s="61">
        <f>$L$17*Table53[[#This Row],[Locality''s Allocation Percentage ]]</f>
        <v>4030.4012727174954</v>
      </c>
      <c r="AZ57" s="61">
        <f>$L$18*Table53[[#This Row],[Locality''s Allocation Percentage ]]</f>
        <v>4030.4012727174954</v>
      </c>
      <c r="BA57" s="61">
        <f>$L$19*Table53[[#This Row],[Locality''s Allocation Percentage ]]</f>
        <v>4030.4012727174954</v>
      </c>
      <c r="BB57" s="61">
        <f>$L$20*Table53[[#This Row],[Locality''s Allocation Percentage ]]</f>
        <v>3331.2588074728442</v>
      </c>
      <c r="BC57" s="61">
        <f>$L$21*Table53[[#This Row],[Locality''s Allocation Percentage ]]</f>
        <v>3331.2588074728442</v>
      </c>
      <c r="BD57" s="61">
        <f>$L$22*Table53[[#This Row],[Locality''s Allocation Percentage ]]</f>
        <v>2404.3744837096069</v>
      </c>
      <c r="BE57" s="61"/>
      <c r="BF57" s="61">
        <f t="shared" si="3"/>
        <v>0</v>
      </c>
      <c r="BG57" s="61">
        <f t="shared" si="3"/>
        <v>2887.6137807284476</v>
      </c>
      <c r="BH57" s="61">
        <f t="shared" si="40"/>
        <v>3342.5615078273718</v>
      </c>
      <c r="BI57" s="61">
        <f t="shared" si="41"/>
        <v>1301.6408581061717</v>
      </c>
      <c r="BJ57" s="61">
        <f t="shared" si="42"/>
        <v>1428.1054878366374</v>
      </c>
      <c r="BK57" s="61">
        <f t="shared" si="43"/>
        <v>1521.4352564556953</v>
      </c>
      <c r="BL57" s="61">
        <f t="shared" si="44"/>
        <v>1145.0859728500409</v>
      </c>
      <c r="BM57" s="61">
        <f t="shared" si="45"/>
        <v>1628.5157348051089</v>
      </c>
      <c r="BN57" s="61">
        <f t="shared" si="46"/>
        <v>1638.289776144667</v>
      </c>
      <c r="BO57" s="61">
        <f t="shared" si="47"/>
        <v>1523.6410281453268</v>
      </c>
      <c r="BP57" s="61">
        <f t="shared" si="48"/>
        <v>1409.4090527736494</v>
      </c>
      <c r="BQ57" s="61">
        <f t="shared" si="49"/>
        <v>1290.5839330355223</v>
      </c>
      <c r="BR57" s="61">
        <f t="shared" si="50"/>
        <v>1007.6003181793739</v>
      </c>
      <c r="BS57" s="61">
        <f t="shared" si="51"/>
        <v>1007.6003181793739</v>
      </c>
      <c r="BT57" s="61">
        <f t="shared" si="52"/>
        <v>1007.6003181793739</v>
      </c>
      <c r="BU57" s="61">
        <f t="shared" si="53"/>
        <v>832.81470186821105</v>
      </c>
      <c r="BV57" s="61">
        <f t="shared" si="54"/>
        <v>832.81470186821105</v>
      </c>
      <c r="BW57" s="61">
        <f t="shared" si="37"/>
        <v>601.09362092740173</v>
      </c>
      <c r="BX57" s="61"/>
      <c r="BY57" s="61">
        <f>($C$6+$D$6+$E$6)*Table53[[#This Row],[Locality''s Allocation Percentage ]]</f>
        <v>31920.342222142586</v>
      </c>
      <c r="BZ57" s="61">
        <f>$L$6*Table53[[#This Row],[Locality''s Allocation Percentage ]]</f>
        <v>11550.455122913791</v>
      </c>
      <c r="CA57" s="61">
        <f t="shared" si="4"/>
        <v>2887.6137807284476</v>
      </c>
      <c r="CB57" s="76">
        <f>($C$7+$D$7+$E$7)*Table53[[#This Row],[Locality''s Allocation Percentage ]]</f>
        <v>11511.716677466367</v>
      </c>
      <c r="CC57" s="76">
        <f>$L$7*Table53[[#This Row],[Locality''s Allocation Percentage ]]</f>
        <v>13370.246031309487</v>
      </c>
      <c r="CD57" s="76">
        <f t="shared" si="5"/>
        <v>3342.5615078273718</v>
      </c>
    </row>
    <row r="58" spans="2:82" s="19" customFormat="1" ht="18" customHeight="1" x14ac:dyDescent="0.25">
      <c r="B58" s="136" t="s">
        <v>49</v>
      </c>
      <c r="C58" s="137" t="s">
        <v>40</v>
      </c>
      <c r="D58" s="53">
        <f>9021780.14/0.55</f>
        <v>16403236.618181817</v>
      </c>
      <c r="E58" s="35"/>
      <c r="F58" s="53">
        <f>2870967.1/0.55</f>
        <v>5219940.1818181816</v>
      </c>
      <c r="J58" s="35">
        <f>SUM(C34:J36)</f>
        <v>243601680.81340912</v>
      </c>
      <c r="K58" s="35"/>
      <c r="L58" s="53">
        <f>L56-E35</f>
        <v>4104207.14</v>
      </c>
      <c r="P58" s="36" t="s">
        <v>261</v>
      </c>
      <c r="Q58" s="37">
        <v>3.5300353003529998E-3</v>
      </c>
      <c r="S58" s="22" t="s">
        <v>123</v>
      </c>
      <c r="T58" s="61">
        <f>($C$5+$D$5+$E$5+$F$5+$G$5+$H$5+$I$5+$J$5+$K$5)*Table53[[#This Row],[Locality''s Allocation Percentage ]]</f>
        <v>14354.21496362688</v>
      </c>
      <c r="U58" s="61">
        <f>($C$6+$D$6+$E$6+$F$6+$G$6+$H$6+$I$6+$J$6+$K$6)*Table53[[#This Row],[Locality''s Allocation Percentage ]]</f>
        <v>90870.006487228471</v>
      </c>
      <c r="V58" s="61">
        <f>($C$7+$D$7+$E$7+$F$7+$G$7+$H$7+$I$7+$J$7+$K$7)*Table53[[#This Row],[Locality''s Allocation Percentage ]]</f>
        <v>112065.96980090922</v>
      </c>
      <c r="W58" s="61">
        <f>($C$8+$D$8+$E$8+$F$8+$G$8+$H$8+$I$8+$J$8+$K$8)*Table53[[#This Row],[Locality''s Allocation Percentage ]]</f>
        <v>42977.051326880923</v>
      </c>
      <c r="X58" s="61">
        <f>($C$9+$D$9+$E$9+$F$9+$G$9+$H$9+$I$9+$J$9+$K$9)*Table53[[#This Row],[Locality''s Allocation Percentage ]]</f>
        <v>46181.618982698201</v>
      </c>
      <c r="Y58" s="61">
        <f>($C$10+$D$10+$E$10+$F$10+$G$10+$H$10+$I$10+$J$10+$K$10)*Table53[[#This Row],[Locality''s Allocation Percentage ]]</f>
        <v>49080.04200227539</v>
      </c>
      <c r="Z58" s="61">
        <f>($C$11+$D$11+$E$11+$F$11+$G$11+$H$11+$I$11+$J$11+$K$11)*Table53[[#This Row],[Locality''s Allocation Percentage ]]</f>
        <v>37392.244602322673</v>
      </c>
      <c r="AA58" s="61">
        <f>($C$12+$D$12+$E$12+$F$12+$G$12+$H$12+$I$12+$J$12+$K$12)*Table53[[#This Row],[Locality''s Allocation Percentage ]]</f>
        <v>52405.503192070959</v>
      </c>
      <c r="AB58" s="61">
        <f>($C$13+$D$13+$E$13+$F$13+$G$13+$H$13+$I$13+$J$13+$K$13)*Table53[[#This Row],[Locality''s Allocation Percentage ]]</f>
        <v>52643.944851646578</v>
      </c>
      <c r="AC58" s="61">
        <f>($C$14+$D$14+$E$14+$F$14+$G$14+$H$14+$I$14+$J$14+$K$14)*Table53[[#This Row],[Locality''s Allocation Percentage ]]</f>
        <v>49290.152858818285</v>
      </c>
      <c r="AD58" s="61">
        <f>($C$15+$D$15+$E$15+$F$15+$G$15+$H$15+$I$15+$J$15+$K$15)*Table53[[#This Row],[Locality''s Allocation Percentage ]]</f>
        <v>45741.563650899836</v>
      </c>
      <c r="AE58" s="61">
        <f>($C$16+$D$16+$E$16+$F$16+$G$16+$H$16+$I$16+$J$16+$K$16)*Table53[[#This Row],[Locality''s Allocation Percentage ]]</f>
        <v>42051.364184545688</v>
      </c>
      <c r="AF58" s="61">
        <f>($C$17+$D$17+$E$17+$F$17+$G$17+$H$17+$I$17+$J$17+$K$17)*Table53[[#This Row],[Locality''s Allocation Percentage ]]</f>
        <v>32091.336778377085</v>
      </c>
      <c r="AG58" s="61">
        <f>($C$18+$D$18+$E$18+$F$18+$G$18+$H$18+$I$18+$J$18+$K$18)*Table53[[#This Row],[Locality''s Allocation Percentage ]]</f>
        <v>32091.336778377085</v>
      </c>
      <c r="AH58" s="61">
        <f>($C$19+$D$19+$E$19+$F$19+$G$19+$H$19+$I$19+$J$19+$K$19)*Table53[[#This Row],[Locality''s Allocation Percentage ]]</f>
        <v>32091.336778377085</v>
      </c>
      <c r="AI58" s="61">
        <f>($C$20+$D$20+$E$20+$F$20+$G$20+$H$20+$I$20+$J$20+$K$20)*Table53[[#This Row],[Locality''s Allocation Percentage ]]</f>
        <v>26663.243884725427</v>
      </c>
      <c r="AJ58" s="61">
        <f>($C$21+$D$21+$E$21+$F$21+$G$21+$H$21+$I$21+$J$21+$K$21)*Table53[[#This Row],[Locality''s Allocation Percentage ]]</f>
        <v>26663.243884725427</v>
      </c>
      <c r="AK58" s="61">
        <f>($C$22+$D$22+$E$22+$F$22+$G$22+$H$22+$I$22+$J$22+$K$22)*Table53[[#This Row],[Locality''s Allocation Percentage ]]</f>
        <v>18667.394268683824</v>
      </c>
      <c r="AL58" s="61"/>
      <c r="AM58" s="61"/>
      <c r="AN58" s="61">
        <f>$L$6*Table53[[#This Row],[Locality''s Allocation Percentage ]]</f>
        <v>32881.537567649742</v>
      </c>
      <c r="AO58" s="61">
        <f>$L$7*Table53[[#This Row],[Locality''s Allocation Percentage ]]</f>
        <v>38062.071363324583</v>
      </c>
      <c r="AP58" s="61">
        <f>$L$8*Table53[[#This Row],[Locality''s Allocation Percentage ]]</f>
        <v>14821.910416499308</v>
      </c>
      <c r="AQ58" s="61">
        <f>$L$9*Table53[[#This Row],[Locality''s Allocation Percentage ]]</f>
        <v>16261.975393752675</v>
      </c>
      <c r="AR58" s="61">
        <f>$L$10*Table53[[#This Row],[Locality''s Allocation Percentage ]]</f>
        <v>17324.730500930978</v>
      </c>
      <c r="AS58" s="61">
        <f>$L$11*Table53[[#This Row],[Locality''s Allocation Percentage ]]</f>
        <v>13039.204787614981</v>
      </c>
      <c r="AT58" s="61">
        <f>$L$12*Table53[[#This Row],[Locality''s Allocation Percentage ]]</f>
        <v>18544.06627052269</v>
      </c>
      <c r="AU58" s="61">
        <f>$L$13*Table53[[#This Row],[Locality''s Allocation Percentage ]]</f>
        <v>18655.364225131205</v>
      </c>
      <c r="AV58" s="61">
        <f>$L$14*Table53[[#This Row],[Locality''s Allocation Percentage ]]</f>
        <v>17349.84783662259</v>
      </c>
      <c r="AW58" s="61">
        <f>$L$15*Table53[[#This Row],[Locality''s Allocation Percentage ]]</f>
        <v>16049.077278358005</v>
      </c>
      <c r="AX58" s="61">
        <f>$L$16*Table53[[#This Row],[Locality''s Allocation Percentage ]]</f>
        <v>14696.004140694815</v>
      </c>
      <c r="AY58" s="61">
        <f>$L$17*Table53[[#This Row],[Locality''s Allocation Percentage ]]</f>
        <v>11473.64233281674</v>
      </c>
      <c r="AZ58" s="61">
        <f>$L$18*Table53[[#This Row],[Locality''s Allocation Percentage ]]</f>
        <v>11473.64233281674</v>
      </c>
      <c r="BA58" s="61">
        <f>$L$19*Table53[[#This Row],[Locality''s Allocation Percentage ]]</f>
        <v>11473.64233281674</v>
      </c>
      <c r="BB58" s="61">
        <f>$L$20*Table53[[#This Row],[Locality''s Allocation Percentage ]]</f>
        <v>9483.3416051444656</v>
      </c>
      <c r="BC58" s="61">
        <f>$L$21*Table53[[#This Row],[Locality''s Allocation Percentage ]]</f>
        <v>9483.3416051444656</v>
      </c>
      <c r="BD58" s="61">
        <f>$L$22*Table53[[#This Row],[Locality''s Allocation Percentage ]]</f>
        <v>6844.7112318507352</v>
      </c>
      <c r="BE58" s="61"/>
      <c r="BF58" s="61">
        <f t="shared" si="3"/>
        <v>0</v>
      </c>
      <c r="BG58" s="61">
        <f t="shared" si="3"/>
        <v>8220.3843919124356</v>
      </c>
      <c r="BH58" s="61">
        <f t="shared" si="40"/>
        <v>9515.5178408311458</v>
      </c>
      <c r="BI58" s="61">
        <f t="shared" si="41"/>
        <v>3705.4776041248269</v>
      </c>
      <c r="BJ58" s="61">
        <f t="shared" si="42"/>
        <v>4065.4938484381687</v>
      </c>
      <c r="BK58" s="61">
        <f t="shared" si="43"/>
        <v>4331.1826252327446</v>
      </c>
      <c r="BL58" s="61">
        <f t="shared" si="44"/>
        <v>3259.8011969037452</v>
      </c>
      <c r="BM58" s="61">
        <f t="shared" si="45"/>
        <v>4636.0165676306724</v>
      </c>
      <c r="BN58" s="61">
        <f t="shared" si="46"/>
        <v>4663.8410562828012</v>
      </c>
      <c r="BO58" s="61">
        <f t="shared" si="47"/>
        <v>4337.4619591556475</v>
      </c>
      <c r="BP58" s="61">
        <f t="shared" si="48"/>
        <v>4012.2693195895013</v>
      </c>
      <c r="BQ58" s="61">
        <f t="shared" si="49"/>
        <v>3674.0010351737037</v>
      </c>
      <c r="BR58" s="61">
        <f t="shared" si="50"/>
        <v>2868.4105832041851</v>
      </c>
      <c r="BS58" s="61">
        <f t="shared" si="51"/>
        <v>2868.4105832041851</v>
      </c>
      <c r="BT58" s="61">
        <f t="shared" si="52"/>
        <v>2868.4105832041851</v>
      </c>
      <c r="BU58" s="61">
        <f t="shared" si="53"/>
        <v>2370.8354012861164</v>
      </c>
      <c r="BV58" s="61">
        <f t="shared" si="54"/>
        <v>2370.8354012861164</v>
      </c>
      <c r="BW58" s="61">
        <f t="shared" si="37"/>
        <v>1711.1778079626838</v>
      </c>
      <c r="BX58" s="61"/>
      <c r="BY58" s="61">
        <f>($C$6+$D$6+$E$6)*Table53[[#This Row],[Locality''s Allocation Percentage ]]</f>
        <v>90870.006487228471</v>
      </c>
      <c r="BZ58" s="61">
        <f>$L$6*Table53[[#This Row],[Locality''s Allocation Percentage ]]</f>
        <v>32881.537567649742</v>
      </c>
      <c r="CA58" s="61">
        <f t="shared" si="4"/>
        <v>8220.3843919124356</v>
      </c>
      <c r="CB58" s="76">
        <f>($C$7+$D$7+$E$7)*Table53[[#This Row],[Locality''s Allocation Percentage ]]</f>
        <v>32771.257960851835</v>
      </c>
      <c r="CC58" s="76">
        <f>$L$7*Table53[[#This Row],[Locality''s Allocation Percentage ]]</f>
        <v>38062.071363324583</v>
      </c>
      <c r="CD58" s="76">
        <f t="shared" si="5"/>
        <v>9515.5178408311458</v>
      </c>
    </row>
    <row r="59" spans="2:82" s="19" customFormat="1" ht="18" customHeight="1" x14ac:dyDescent="0.25">
      <c r="B59" s="136" t="s">
        <v>55</v>
      </c>
      <c r="C59" s="137">
        <v>18072485.264686506</v>
      </c>
      <c r="D59" s="53"/>
      <c r="F59" s="53"/>
      <c r="H59" s="53"/>
      <c r="L59" s="53"/>
      <c r="P59" s="36" t="s">
        <v>124</v>
      </c>
      <c r="Q59" s="37">
        <v>1.5380153801538E-2</v>
      </c>
      <c r="S59" s="22" t="s">
        <v>124</v>
      </c>
      <c r="T59" s="61">
        <f>($C$5+$D$5+$E$5+$F$5+$G$5+$H$5+$I$5+$J$5+$K$5)*Table53[[#This Row],[Locality''s Allocation Percentage ]]</f>
        <v>62540.460663054226</v>
      </c>
      <c r="U59" s="61">
        <f>($C$6+$D$6+$E$6+$F$6+$G$6+$H$6+$I$6+$J$6+$K$6)*Table53[[#This Row],[Locality''s Allocation Percentage ]]</f>
        <v>395915.21240044589</v>
      </c>
      <c r="V59" s="61">
        <f>($C$7+$D$7+$E$7+$F$7+$G$7+$H$7+$I$7+$J$7+$K$7)*Table53[[#This Row],[Locality''s Allocation Percentage ]]</f>
        <v>488264.76360849402</v>
      </c>
      <c r="W59" s="61">
        <f>($C$8+$D$8+$E$8+$F$8+$G$8+$H$8+$I$8+$J$8+$K$8)*Table53[[#This Row],[Locality''s Allocation Percentage ]]</f>
        <v>187248.45592278431</v>
      </c>
      <c r="X59" s="61">
        <f>($C$9+$D$9+$E$9+$F$9+$G$9+$H$9+$I$9+$J$9+$K$9)*Table53[[#This Row],[Locality''s Allocation Percentage ]]</f>
        <v>201210.566559178</v>
      </c>
      <c r="Y59" s="61">
        <f>($C$10+$D$10+$E$10+$F$10+$G$10+$H$10+$I$10+$J$10+$K$10)*Table53[[#This Row],[Locality''s Allocation Percentage ]]</f>
        <v>213838.82322804406</v>
      </c>
      <c r="Z59" s="61">
        <f>($C$11+$D$11+$E$11+$F$11+$G$11+$H$11+$I$11+$J$11+$K$11)*Table53[[#This Row],[Locality''s Allocation Percentage ]]</f>
        <v>162915.78526451069</v>
      </c>
      <c r="AA59" s="61">
        <f>($C$12+$D$12+$E$12+$F$12+$G$12+$H$12+$I$12+$J$12+$K$12)*Table53[[#This Row],[Locality''s Allocation Percentage ]]</f>
        <v>228327.65980001458</v>
      </c>
      <c r="AB59" s="61">
        <f>($C$13+$D$13+$E$13+$F$13+$G$13+$H$13+$I$13+$J$13+$K$13)*Table53[[#This Row],[Locality''s Allocation Percentage ]]</f>
        <v>229366.53592587094</v>
      </c>
      <c r="AC59" s="61">
        <f>($C$14+$D$14+$E$14+$F$14+$G$14+$H$14+$I$14+$J$14+$K$14)*Table53[[#This Row],[Locality''s Allocation Percentage ]]</f>
        <v>214754.26373048872</v>
      </c>
      <c r="AD59" s="61">
        <f>($C$15+$D$15+$E$15+$F$15+$G$15+$H$15+$I$15+$J$15+$K$15)*Table53[[#This Row],[Locality''s Allocation Percentage ]]</f>
        <v>199293.27165746162</v>
      </c>
      <c r="AE59" s="61">
        <f>($C$16+$D$16+$E$16+$F$16+$G$16+$H$16+$I$16+$J$16+$K$16)*Table53[[#This Row],[Locality''s Allocation Percentage ]]</f>
        <v>183215.29211283644</v>
      </c>
      <c r="AF59" s="61">
        <f>($C$17+$D$17+$E$17+$F$17+$G$17+$H$17+$I$17+$J$17+$K$17)*Table53[[#This Row],[Locality''s Allocation Percentage ]]</f>
        <v>139820.04522703672</v>
      </c>
      <c r="AG59" s="61">
        <f>($C$18+$D$18+$E$18+$F$18+$G$18+$H$18+$I$18+$J$18+$K$18)*Table53[[#This Row],[Locality''s Allocation Percentage ]]</f>
        <v>139820.04522703672</v>
      </c>
      <c r="AH59" s="61">
        <f>($C$19+$D$19+$E$19+$F$19+$G$19+$H$19+$I$19+$J$19+$K$19)*Table53[[#This Row],[Locality''s Allocation Percentage ]]</f>
        <v>139820.04522703672</v>
      </c>
      <c r="AI59" s="61">
        <f>($C$20+$D$20+$E$20+$F$20+$G$20+$H$20+$I$20+$J$20+$K$20)*Table53[[#This Row],[Locality''s Allocation Percentage ]]</f>
        <v>116170.16740710399</v>
      </c>
      <c r="AJ59" s="61">
        <f>($C$21+$D$21+$E$21+$F$21+$G$21+$H$21+$I$21+$J$21+$K$21)*Table53[[#This Row],[Locality''s Allocation Percentage ]]</f>
        <v>116170.16740710399</v>
      </c>
      <c r="AK59" s="61">
        <f>($C$22+$D$22+$E$22+$F$22+$G$22+$H$22+$I$22+$J$22+$K$22)*Table53[[#This Row],[Locality''s Allocation Percentage ]]</f>
        <v>81332.726303783915</v>
      </c>
      <c r="AL59" s="61"/>
      <c r="AM59" s="61"/>
      <c r="AN59" s="61">
        <f>$L$6*Table53[[#This Row],[Locality''s Allocation Percentage ]]</f>
        <v>143262.90305678555</v>
      </c>
      <c r="AO59" s="61">
        <f>$L$7*Table53[[#This Row],[Locality''s Allocation Percentage ]]</f>
        <v>165834.18061414509</v>
      </c>
      <c r="AP59" s="61">
        <f>$L$8*Table53[[#This Row],[Locality''s Allocation Percentage ]]</f>
        <v>64578.181927977159</v>
      </c>
      <c r="AQ59" s="61">
        <f>$L$9*Table53[[#This Row],[Locality''s Allocation Percentage ]]</f>
        <v>70852.4593642822</v>
      </c>
      <c r="AR59" s="61">
        <f>$L$10*Table53[[#This Row],[Locality''s Allocation Percentage ]]</f>
        <v>75482.820142866418</v>
      </c>
      <c r="AS59" s="61">
        <f>$L$11*Table53[[#This Row],[Locality''s Allocation Percentage ]]</f>
        <v>56811.039556237512</v>
      </c>
      <c r="AT59" s="61">
        <f>$L$12*Table53[[#This Row],[Locality''s Allocation Percentage ]]</f>
        <v>80795.393552588939</v>
      </c>
      <c r="AU59" s="61">
        <f>$L$13*Table53[[#This Row],[Locality''s Allocation Percentage ]]</f>
        <v>81280.312119693481</v>
      </c>
      <c r="AV59" s="61">
        <f>$L$14*Table53[[#This Row],[Locality''s Allocation Percentage ]]</f>
        <v>75592.254880242326</v>
      </c>
      <c r="AW59" s="61">
        <f>$L$15*Table53[[#This Row],[Locality''s Allocation Percentage ]]</f>
        <v>69924.87494083459</v>
      </c>
      <c r="AX59" s="61">
        <f>$L$16*Table53[[#This Row],[Locality''s Allocation Percentage ]]</f>
        <v>64029.615774472033</v>
      </c>
      <c r="AY59" s="61">
        <f>$L$17*Table53[[#This Row],[Locality''s Allocation Percentage ]]</f>
        <v>49989.977076125062</v>
      </c>
      <c r="AZ59" s="61">
        <f>$L$18*Table53[[#This Row],[Locality''s Allocation Percentage ]]</f>
        <v>49989.977076125062</v>
      </c>
      <c r="BA59" s="61">
        <f>$L$19*Table53[[#This Row],[Locality''s Allocation Percentage ]]</f>
        <v>49989.977076125062</v>
      </c>
      <c r="BB59" s="61">
        <f>$L$20*Table53[[#This Row],[Locality''s Allocation Percentage ]]</f>
        <v>41318.3552088164</v>
      </c>
      <c r="BC59" s="61">
        <f>$L$21*Table53[[#This Row],[Locality''s Allocation Percentage ]]</f>
        <v>41318.3552088164</v>
      </c>
      <c r="BD59" s="61">
        <f>$L$22*Table53[[#This Row],[Locality''s Allocation Percentage ]]</f>
        <v>29821.999644720767</v>
      </c>
      <c r="BE59" s="61"/>
      <c r="BF59" s="61">
        <f t="shared" si="3"/>
        <v>0</v>
      </c>
      <c r="BG59" s="61">
        <f t="shared" si="3"/>
        <v>35815.725764196388</v>
      </c>
      <c r="BH59" s="61">
        <f t="shared" si="40"/>
        <v>41458.545153536274</v>
      </c>
      <c r="BI59" s="61">
        <f t="shared" si="41"/>
        <v>16144.54548199429</v>
      </c>
      <c r="BJ59" s="61">
        <f t="shared" si="42"/>
        <v>17713.11484107055</v>
      </c>
      <c r="BK59" s="61">
        <f t="shared" si="43"/>
        <v>18870.705035716604</v>
      </c>
      <c r="BL59" s="61">
        <f t="shared" si="44"/>
        <v>14202.759889059378</v>
      </c>
      <c r="BM59" s="61">
        <f t="shared" si="45"/>
        <v>20198.848388147235</v>
      </c>
      <c r="BN59" s="61">
        <f t="shared" si="46"/>
        <v>20320.07802992337</v>
      </c>
      <c r="BO59" s="61">
        <f t="shared" si="47"/>
        <v>18898.063720060582</v>
      </c>
      <c r="BP59" s="61">
        <f t="shared" si="48"/>
        <v>17481.218735208648</v>
      </c>
      <c r="BQ59" s="61">
        <f t="shared" si="49"/>
        <v>16007.403943618008</v>
      </c>
      <c r="BR59" s="61">
        <f t="shared" si="50"/>
        <v>12497.494269031266</v>
      </c>
      <c r="BS59" s="61">
        <f t="shared" si="51"/>
        <v>12497.494269031266</v>
      </c>
      <c r="BT59" s="61">
        <f t="shared" si="52"/>
        <v>12497.494269031266</v>
      </c>
      <c r="BU59" s="61">
        <f t="shared" si="53"/>
        <v>10329.5888022041</v>
      </c>
      <c r="BV59" s="61">
        <f t="shared" si="54"/>
        <v>10329.5888022041</v>
      </c>
      <c r="BW59" s="61">
        <f t="shared" si="37"/>
        <v>7455.4999111801917</v>
      </c>
      <c r="BX59" s="61"/>
      <c r="BY59" s="61">
        <f>($C$6+$D$6+$E$6)*Table53[[#This Row],[Locality''s Allocation Percentage ]]</f>
        <v>395915.21240044589</v>
      </c>
      <c r="BZ59" s="61">
        <f>$L$6*Table53[[#This Row],[Locality''s Allocation Percentage ]]</f>
        <v>143262.90305678555</v>
      </c>
      <c r="CA59" s="61">
        <f t="shared" si="4"/>
        <v>35815.725764196388</v>
      </c>
      <c r="CB59" s="76">
        <f>($C$7+$D$7+$E$7)*Table53[[#This Row],[Locality''s Allocation Percentage ]]</f>
        <v>142782.42137051027</v>
      </c>
      <c r="CC59" s="76">
        <f>$L$7*Table53[[#This Row],[Locality''s Allocation Percentage ]]</f>
        <v>165834.18061414509</v>
      </c>
      <c r="CD59" s="76">
        <f t="shared" si="5"/>
        <v>41458.545153536274</v>
      </c>
    </row>
    <row r="60" spans="2:82" s="19" customFormat="1" ht="18" customHeight="1" x14ac:dyDescent="0.25">
      <c r="B60" s="136" t="s">
        <v>57</v>
      </c>
      <c r="C60" s="137">
        <v>18993300.96845736</v>
      </c>
      <c r="D60" s="53">
        <f>4981591.64/0.55</f>
        <v>9057439.3454545438</v>
      </c>
      <c r="E60" s="19">
        <v>72816532</v>
      </c>
      <c r="F60" s="53">
        <f>5502282.34/0.55</f>
        <v>10004149.709090907</v>
      </c>
      <c r="G60" s="19">
        <f>5754948.75/0.55</f>
        <v>10463543.181818182</v>
      </c>
      <c r="H60" s="53">
        <f>SUM(G60,C54)</f>
        <v>-90450.252963608131</v>
      </c>
      <c r="J60" s="35"/>
      <c r="K60" s="35"/>
      <c r="L60" s="53">
        <f>L56*0.3</f>
        <v>2277834.963</v>
      </c>
      <c r="P60" s="36" t="s">
        <v>262</v>
      </c>
      <c r="Q60" s="37">
        <v>1.0790107901079E-2</v>
      </c>
      <c r="S60" s="22" t="s">
        <v>125</v>
      </c>
      <c r="T60" s="61">
        <f>($C$5+$D$5+$E$5+$F$5+$G$5+$H$5+$I$5+$J$5+$K$5)*Table53[[#This Row],[Locality''s Allocation Percentage ]]</f>
        <v>43875.914860491226</v>
      </c>
      <c r="U60" s="61">
        <f>($C$6+$D$6+$E$6+$F$6+$G$6+$H$6+$I$6+$J$6+$K$6)*Table53[[#This Row],[Locality''s Allocation Percentage ]]</f>
        <v>277758.4617555794</v>
      </c>
      <c r="V60" s="61">
        <f>($C$7+$D$7+$E$7+$F$7+$G$7+$H$7+$I$7+$J$7+$K$7)*Table53[[#This Row],[Locality''s Allocation Percentage ]]</f>
        <v>342547.25613365736</v>
      </c>
      <c r="W60" s="61">
        <f>($C$8+$D$8+$E$8+$F$8+$G$8+$H$8+$I$8+$J$8+$K$8)*Table53[[#This Row],[Locality''s Allocation Percentage ]]</f>
        <v>131366.11439576352</v>
      </c>
      <c r="X60" s="61">
        <f>($C$9+$D$9+$E$9+$F$9+$G$9+$H$9+$I$9+$J$9+$K$9)*Table53[[#This Row],[Locality''s Allocation Percentage ]]</f>
        <v>141161.37927006051</v>
      </c>
      <c r="Y60" s="61">
        <f>($C$10+$D$10+$E$10+$F$10+$G$10+$H$10+$I$10+$J$10+$K$10)*Table53[[#This Row],[Locality''s Allocation Percentage ]]</f>
        <v>150020.86493046783</v>
      </c>
      <c r="Z60" s="61">
        <f>($C$11+$D$11+$E$11+$F$11+$G$11+$H$11+$I$11+$J$11+$K$11)*Table53[[#This Row],[Locality''s Allocation Percentage ]]</f>
        <v>114295.27457763787</v>
      </c>
      <c r="AA60" s="61">
        <f>($C$12+$D$12+$E$12+$F$12+$G$12+$H$12+$I$12+$J$12+$K$12)*Table53[[#This Row],[Locality''s Allocation Percentage ]]</f>
        <v>160185.65989870983</v>
      </c>
      <c r="AB60" s="61">
        <f>($C$13+$D$13+$E$13+$F$13+$G$13+$H$13+$I$13+$J$13+$K$13)*Table53[[#This Row],[Locality''s Allocation Percentage ]]</f>
        <v>160914.49431990556</v>
      </c>
      <c r="AC60" s="61">
        <f>($C$14+$D$14+$E$14+$F$14+$G$14+$H$14+$I$14+$J$14+$K$14)*Table53[[#This Row],[Locality''s Allocation Percentage ]]</f>
        <v>150663.10179791765</v>
      </c>
      <c r="AD60" s="61">
        <f>($C$15+$D$15+$E$15+$F$15+$G$15+$H$15+$I$15+$J$15+$K$15)*Table53[[#This Row],[Locality''s Allocation Percentage ]]</f>
        <v>139816.28096124908</v>
      </c>
      <c r="AE60" s="61">
        <f>($C$16+$D$16+$E$16+$F$16+$G$16+$H$16+$I$16+$J$16+$K$16)*Table53[[#This Row],[Locality''s Allocation Percentage ]]</f>
        <v>128536.6061051694</v>
      </c>
      <c r="AF60" s="61">
        <f>($C$17+$D$17+$E$17+$F$17+$G$17+$H$17+$I$17+$J$17+$K$17)*Table53[[#This Row],[Locality''s Allocation Percentage ]]</f>
        <v>98092.216384897663</v>
      </c>
      <c r="AG60" s="61">
        <f>($C$18+$D$18+$E$18+$F$18+$G$18+$H$18+$I$18+$J$18+$K$18)*Table53[[#This Row],[Locality''s Allocation Percentage ]]</f>
        <v>98092.216384897663</v>
      </c>
      <c r="AH60" s="61">
        <f>($C$19+$D$19+$E$19+$F$19+$G$19+$H$19+$I$19+$J$19+$K$19)*Table53[[#This Row],[Locality''s Allocation Percentage ]]</f>
        <v>98092.216384897663</v>
      </c>
      <c r="AI60" s="61">
        <f>($C$20+$D$20+$E$20+$F$20+$G$20+$H$20+$I$20+$J$20+$K$20)*Table53[[#This Row],[Locality''s Allocation Percentage ]]</f>
        <v>81500.397030081411</v>
      </c>
      <c r="AJ60" s="61">
        <f>($C$21+$D$21+$E$21+$F$21+$G$21+$H$21+$I$21+$J$21+$K$21)*Table53[[#This Row],[Locality''s Allocation Percentage ]]</f>
        <v>81500.397030081411</v>
      </c>
      <c r="AK60" s="61">
        <f>($C$22+$D$22+$E$22+$F$22+$G$22+$H$22+$I$22+$J$22+$K$22)*Table53[[#This Row],[Locality''s Allocation Percentage ]]</f>
        <v>57059.825540821097</v>
      </c>
      <c r="AL60" s="61"/>
      <c r="AM60" s="61"/>
      <c r="AN60" s="61">
        <f>$L$6*Table53[[#This Row],[Locality''s Allocation Percentage ]]</f>
        <v>100507.58933567726</v>
      </c>
      <c r="AO60" s="61">
        <f>$L$7*Table53[[#This Row],[Locality''s Allocation Percentage ]]</f>
        <v>116342.70538534626</v>
      </c>
      <c r="AP60" s="61">
        <f>$L$8*Table53[[#This Row],[Locality''s Allocation Percentage ]]</f>
        <v>45305.499545050297</v>
      </c>
      <c r="AQ60" s="61">
        <f>$L$9*Table53[[#This Row],[Locality''s Allocation Percentage ]]</f>
        <v>49707.284560507469</v>
      </c>
      <c r="AR60" s="61">
        <f>$L$10*Table53[[#This Row],[Locality''s Allocation Percentage ]]</f>
        <v>52955.762635990162</v>
      </c>
      <c r="AS60" s="61">
        <f>$L$11*Table53[[#This Row],[Locality''s Allocation Percentage ]]</f>
        <v>39856.379506619167</v>
      </c>
      <c r="AT60" s="61">
        <f>$L$12*Table53[[#This Row],[Locality''s Allocation Percentage ]]</f>
        <v>56682.854124345555</v>
      </c>
      <c r="AU60" s="61">
        <f>$L$13*Table53[[#This Row],[Locality''s Allocation Percentage ]]</f>
        <v>57023.053821293404</v>
      </c>
      <c r="AV60" s="61">
        <f>$L$14*Table53[[#This Row],[Locality''s Allocation Percentage ]]</f>
        <v>53032.53772157443</v>
      </c>
      <c r="AW60" s="61">
        <f>$L$15*Table53[[#This Row],[Locality''s Allocation Percentage ]]</f>
        <v>49056.52799815379</v>
      </c>
      <c r="AX60" s="61">
        <f>$L$16*Table53[[#This Row],[Locality''s Allocation Percentage ]]</f>
        <v>44920.647217591235</v>
      </c>
      <c r="AY60" s="61">
        <f>$L$17*Table53[[#This Row],[Locality''s Allocation Percentage ]]</f>
        <v>35070.991719856269</v>
      </c>
      <c r="AZ60" s="61">
        <f>$L$18*Table53[[#This Row],[Locality''s Allocation Percentage ]]</f>
        <v>35070.991719856269</v>
      </c>
      <c r="BA60" s="61">
        <f>$L$19*Table53[[#This Row],[Locality''s Allocation Percentage ]]</f>
        <v>35070.991719856269</v>
      </c>
      <c r="BB60" s="61">
        <f>$L$20*Table53[[#This Row],[Locality''s Allocation Percentage ]]</f>
        <v>28987.32462309031</v>
      </c>
      <c r="BC60" s="61">
        <f>$L$21*Table53[[#This Row],[Locality''s Allocation Percentage ]]</f>
        <v>28987.32462309031</v>
      </c>
      <c r="BD60" s="61">
        <f>$L$22*Table53[[#This Row],[Locality''s Allocation Percentage ]]</f>
        <v>20921.936031634399</v>
      </c>
      <c r="BE60" s="61"/>
      <c r="BF60" s="61">
        <f t="shared" si="3"/>
        <v>0</v>
      </c>
      <c r="BG60" s="61">
        <f t="shared" si="3"/>
        <v>25126.897333919314</v>
      </c>
      <c r="BH60" s="61">
        <f t="shared" si="40"/>
        <v>29085.676346336564</v>
      </c>
      <c r="BI60" s="61">
        <f t="shared" si="41"/>
        <v>11326.374886262574</v>
      </c>
      <c r="BJ60" s="61">
        <f t="shared" si="42"/>
        <v>12426.821140126867</v>
      </c>
      <c r="BK60" s="61">
        <f t="shared" si="43"/>
        <v>13238.940658997541</v>
      </c>
      <c r="BL60" s="61">
        <f t="shared" si="44"/>
        <v>9964.0948766547917</v>
      </c>
      <c r="BM60" s="61">
        <f t="shared" si="45"/>
        <v>14170.713531086389</v>
      </c>
      <c r="BN60" s="61">
        <f t="shared" si="46"/>
        <v>14255.763455323351</v>
      </c>
      <c r="BO60" s="61">
        <f t="shared" si="47"/>
        <v>13258.134430393608</v>
      </c>
      <c r="BP60" s="61">
        <f t="shared" si="48"/>
        <v>12264.131999538447</v>
      </c>
      <c r="BQ60" s="61">
        <f t="shared" si="49"/>
        <v>11230.161804397809</v>
      </c>
      <c r="BR60" s="61">
        <f t="shared" si="50"/>
        <v>8767.7479299640672</v>
      </c>
      <c r="BS60" s="61">
        <f t="shared" si="51"/>
        <v>8767.7479299640672</v>
      </c>
      <c r="BT60" s="61">
        <f t="shared" si="52"/>
        <v>8767.7479299640672</v>
      </c>
      <c r="BU60" s="61">
        <f t="shared" si="53"/>
        <v>7246.8311557725774</v>
      </c>
      <c r="BV60" s="61">
        <f t="shared" si="54"/>
        <v>7246.8311557725774</v>
      </c>
      <c r="BW60" s="61">
        <f t="shared" si="37"/>
        <v>5230.4840079085998</v>
      </c>
      <c r="BX60" s="61"/>
      <c r="BY60" s="61">
        <f>($C$6+$D$6+$E$6)*Table53[[#This Row],[Locality''s Allocation Percentage ]]</f>
        <v>277758.4617555794</v>
      </c>
      <c r="BZ60" s="61">
        <f>$L$6*Table53[[#This Row],[Locality''s Allocation Percentage ]]</f>
        <v>100507.58933567726</v>
      </c>
      <c r="CA60" s="61">
        <f t="shared" si="4"/>
        <v>25126.897333919314</v>
      </c>
      <c r="CB60" s="76">
        <f>($C$7+$D$7+$E$7)*Table53[[#This Row],[Locality''s Allocation Percentage ]]</f>
        <v>100170.50237892105</v>
      </c>
      <c r="CC60" s="76">
        <f>$L$7*Table53[[#This Row],[Locality''s Allocation Percentage ]]</f>
        <v>116342.70538534626</v>
      </c>
      <c r="CD60" s="76">
        <f t="shared" si="5"/>
        <v>29085.676346336564</v>
      </c>
    </row>
    <row r="61" spans="2:82" s="19" customFormat="1" ht="18" customHeight="1" x14ac:dyDescent="0.25">
      <c r="B61" s="136" t="s">
        <v>59</v>
      </c>
      <c r="C61" s="137">
        <v>24213241.14845736</v>
      </c>
      <c r="E61" s="35">
        <f>D35-E60</f>
        <v>-464348.66910111904</v>
      </c>
      <c r="H61" s="53"/>
      <c r="J61" s="35"/>
      <c r="K61" s="35"/>
      <c r="P61" s="36" t="s">
        <v>126</v>
      </c>
      <c r="Q61" s="37">
        <v>5.2300523005230099E-3</v>
      </c>
      <c r="S61" s="22" t="s">
        <v>126</v>
      </c>
      <c r="T61" s="61">
        <f>($C$5+$D$5+$E$5+$F$5+$G$5+$H$5+$I$5+$J$5+$K$5)*Table53[[#This Row],[Locality''s Allocation Percentage ]]</f>
        <v>21267.009705316919</v>
      </c>
      <c r="U61" s="61">
        <f>($C$6+$D$6+$E$6+$F$6+$G$6+$H$6+$I$6+$J$6+$K$6)*Table53[[#This Row],[Locality''s Allocation Percentage ]]</f>
        <v>134631.76598532745</v>
      </c>
      <c r="V61" s="61">
        <f>($C$7+$D$7+$E$7+$F$7+$G$7+$H$7+$I$7+$J$7+$K$7)*Table53[[#This Row],[Locality''s Allocation Percentage ]]</f>
        <v>166035.417013812</v>
      </c>
      <c r="W61" s="61">
        <f>($C$8+$D$8+$E$8+$F$8+$G$8+$H$8+$I$8+$J$8+$K$8)*Table53[[#This Row],[Locality''s Allocation Percentage ]]</f>
        <v>63674.21485540727</v>
      </c>
      <c r="X61" s="61">
        <f>($C$9+$D$9+$E$9+$F$9+$G$9+$H$9+$I$9+$J$9+$K$9)*Table53[[#This Row],[Locality''s Allocation Percentage ]]</f>
        <v>68422.058719408509</v>
      </c>
      <c r="Y61" s="61">
        <f>($C$10+$D$10+$E$10+$F$10+$G$10+$H$10+$I$10+$J$10+$K$10)*Table53[[#This Row],[Locality''s Allocation Percentage ]]</f>
        <v>72716.322853229678</v>
      </c>
      <c r="Z61" s="61">
        <f>($C$11+$D$11+$E$11+$F$11+$G$11+$H$11+$I$11+$J$11+$K$11)*Table53[[#This Row],[Locality''s Allocation Percentage ]]</f>
        <v>55399.841153016423</v>
      </c>
      <c r="AA61" s="61">
        <f>($C$12+$D$12+$E$12+$F$12+$G$12+$H$12+$I$12+$J$12+$K$12)*Table53[[#This Row],[Locality''s Allocation Percentage ]]</f>
        <v>77643.280933295086</v>
      </c>
      <c r="AB61" s="61">
        <f>($C$13+$D$13+$E$13+$F$13+$G$13+$H$13+$I$13+$J$13+$K$13)*Table53[[#This Row],[Locality''s Allocation Percentage ]]</f>
        <v>77996.552853856119</v>
      </c>
      <c r="AC61" s="61">
        <f>($C$14+$D$14+$E$14+$F$14+$G$14+$H$14+$I$14+$J$14+$K$14)*Table53[[#This Row],[Locality''s Allocation Percentage ]]</f>
        <v>73027.620241252152</v>
      </c>
      <c r="AD61" s="61">
        <f>($C$15+$D$15+$E$15+$F$15+$G$15+$H$15+$I$15+$J$15+$K$15)*Table53[[#This Row],[Locality''s Allocation Percentage ]]</f>
        <v>67770.078723571278</v>
      </c>
      <c r="AE61" s="61">
        <f>($C$16+$D$16+$E$16+$F$16+$G$16+$H$16+$I$16+$J$16+$K$16)*Table53[[#This Row],[Locality''s Allocation Percentage ]]</f>
        <v>62302.72937257064</v>
      </c>
      <c r="AF61" s="61">
        <f>($C$17+$D$17+$E$17+$F$17+$G$17+$H$17+$I$17+$J$17+$K$17)*Table53[[#This Row],[Locality''s Allocation Percentage ]]</f>
        <v>47546.088201391642</v>
      </c>
      <c r="AG61" s="61">
        <f>($C$18+$D$18+$E$18+$F$18+$G$18+$H$18+$I$18+$J$18+$K$18)*Table53[[#This Row],[Locality''s Allocation Percentage ]]</f>
        <v>47546.088201391642</v>
      </c>
      <c r="AH61" s="61">
        <f>($C$19+$D$19+$E$19+$F$19+$G$19+$H$19+$I$19+$J$19+$K$19)*Table53[[#This Row],[Locality''s Allocation Percentage ]]</f>
        <v>47546.088201391642</v>
      </c>
      <c r="AI61" s="61">
        <f>($C$20+$D$20+$E$20+$F$20+$G$20+$H$20+$I$20+$J$20+$K$20)*Table53[[#This Row],[Locality''s Allocation Percentage ]]</f>
        <v>39503.899579919052</v>
      </c>
      <c r="AJ61" s="61">
        <f>($C$21+$D$21+$E$21+$F$21+$G$21+$H$21+$I$21+$J$21+$K$21)*Table53[[#This Row],[Locality''s Allocation Percentage ]]</f>
        <v>39503.899579919052</v>
      </c>
      <c r="AK61" s="61">
        <f>($C$22+$D$22+$E$22+$F$22+$G$22+$H$22+$I$22+$J$22+$K$22)*Table53[[#This Row],[Locality''s Allocation Percentage ]]</f>
        <v>27657.357514225663</v>
      </c>
      <c r="AL61" s="61"/>
      <c r="AM61" s="61"/>
      <c r="AN61" s="61">
        <f>$L$6*Table53[[#This Row],[Locality''s Allocation Percentage ]]</f>
        <v>48716.838945838092</v>
      </c>
      <c r="AO61" s="61">
        <f>$L$7*Table53[[#This Row],[Locality''s Allocation Percentage ]]</f>
        <v>56392.247373990926</v>
      </c>
      <c r="AP61" s="61">
        <f>$L$8*Table53[[#This Row],[Locality''s Allocation Percentage ]]</f>
        <v>21959.940928694487</v>
      </c>
      <c r="AQ61" s="61">
        <f>$L$9*Table53[[#This Row],[Locality''s Allocation Percentage ]]</f>
        <v>24093.521617372993</v>
      </c>
      <c r="AR61" s="61">
        <f>$L$10*Table53[[#This Row],[Locality''s Allocation Percentage ]]</f>
        <v>25668.085133107419</v>
      </c>
      <c r="AS61" s="61">
        <f>$L$11*Table53[[#This Row],[Locality''s Allocation Percentage ]]</f>
        <v>19318.708509695887</v>
      </c>
      <c r="AT61" s="61">
        <f>$L$12*Table53[[#This Row],[Locality''s Allocation Percentage ]]</f>
        <v>27474.636429131402</v>
      </c>
      <c r="AU61" s="61">
        <f>$L$13*Table53[[#This Row],[Locality''s Allocation Percentage ]]</f>
        <v>27639.533965279436</v>
      </c>
      <c r="AV61" s="61">
        <f>$L$14*Table53[[#This Row],[Locality''s Allocation Percentage ]]</f>
        <v>25705.298636129268</v>
      </c>
      <c r="AW61" s="61">
        <f>$L$15*Table53[[#This Row],[Locality''s Allocation Percentage ]]</f>
        <v>23778.094664536125</v>
      </c>
      <c r="AX61" s="61">
        <f>$L$16*Table53[[#This Row],[Locality''s Allocation Percentage ]]</f>
        <v>21773.399902502559</v>
      </c>
      <c r="AY61" s="61">
        <f>$L$17*Table53[[#This Row],[Locality''s Allocation Percentage ]]</f>
        <v>16999.192464768177</v>
      </c>
      <c r="AZ61" s="61">
        <f>$L$18*Table53[[#This Row],[Locality''s Allocation Percentage ]]</f>
        <v>16999.192464768177</v>
      </c>
      <c r="BA61" s="61">
        <f>$L$19*Table53[[#This Row],[Locality''s Allocation Percentage ]]</f>
        <v>16999.192464768177</v>
      </c>
      <c r="BB61" s="61">
        <f>$L$20*Table53[[#This Row],[Locality''s Allocation Percentage ]]</f>
        <v>14050.389970228231</v>
      </c>
      <c r="BC61" s="61">
        <f>$L$21*Table53[[#This Row],[Locality''s Allocation Percentage ]]</f>
        <v>14050.389970228231</v>
      </c>
      <c r="BD61" s="61">
        <f>$L$22*Table53[[#This Row],[Locality''s Allocation Percentage ]]</f>
        <v>10141.031088549409</v>
      </c>
      <c r="BE61" s="61"/>
      <c r="BF61" s="61">
        <f t="shared" si="3"/>
        <v>0</v>
      </c>
      <c r="BG61" s="61">
        <f t="shared" si="3"/>
        <v>12179.209736459523</v>
      </c>
      <c r="BH61" s="61">
        <f t="shared" si="40"/>
        <v>14098.061843497731</v>
      </c>
      <c r="BI61" s="61">
        <f t="shared" si="41"/>
        <v>5489.9852321736216</v>
      </c>
      <c r="BJ61" s="61">
        <f t="shared" si="42"/>
        <v>6023.3804043432483</v>
      </c>
      <c r="BK61" s="61">
        <f t="shared" si="43"/>
        <v>6417.0212832768548</v>
      </c>
      <c r="BL61" s="61">
        <f t="shared" si="44"/>
        <v>4829.6771274239718</v>
      </c>
      <c r="BM61" s="61">
        <f t="shared" si="45"/>
        <v>6868.6591072828505</v>
      </c>
      <c r="BN61" s="61">
        <f t="shared" si="46"/>
        <v>6909.8834913198589</v>
      </c>
      <c r="BO61" s="61">
        <f t="shared" si="47"/>
        <v>6426.324659032317</v>
      </c>
      <c r="BP61" s="61">
        <f t="shared" si="48"/>
        <v>5944.5236661340314</v>
      </c>
      <c r="BQ61" s="61">
        <f t="shared" si="49"/>
        <v>5443.3499756256397</v>
      </c>
      <c r="BR61" s="61">
        <f t="shared" si="50"/>
        <v>4249.7981161920443</v>
      </c>
      <c r="BS61" s="61">
        <f t="shared" si="51"/>
        <v>4249.7981161920443</v>
      </c>
      <c r="BT61" s="61">
        <f t="shared" si="52"/>
        <v>4249.7981161920443</v>
      </c>
      <c r="BU61" s="61">
        <f t="shared" si="53"/>
        <v>3512.5974925570576</v>
      </c>
      <c r="BV61" s="61">
        <f t="shared" si="54"/>
        <v>3512.5974925570576</v>
      </c>
      <c r="BW61" s="61">
        <f t="shared" si="37"/>
        <v>2535.2577721373523</v>
      </c>
      <c r="BX61" s="61"/>
      <c r="BY61" s="61">
        <f>($C$6+$D$6+$E$6)*Table53[[#This Row],[Locality''s Allocation Percentage ]]</f>
        <v>134631.76598532745</v>
      </c>
      <c r="BZ61" s="61">
        <f>$L$6*Table53[[#This Row],[Locality''s Allocation Percentage ]]</f>
        <v>48716.838945838092</v>
      </c>
      <c r="CA61" s="61">
        <f t="shared" si="4"/>
        <v>12179.209736459523</v>
      </c>
      <c r="CB61" s="76">
        <f>($C$7+$D$7+$E$7)*Table53[[#This Row],[Locality''s Allocation Percentage ]]</f>
        <v>48553.450179959043</v>
      </c>
      <c r="CC61" s="76">
        <f>$L$7*Table53[[#This Row],[Locality''s Allocation Percentage ]]</f>
        <v>56392.247373990926</v>
      </c>
      <c r="CD61" s="76">
        <f t="shared" si="5"/>
        <v>14098.061843497731</v>
      </c>
    </row>
    <row r="62" spans="2:82" s="19" customFormat="1" ht="18" customHeight="1" x14ac:dyDescent="0.25">
      <c r="B62" s="136" t="s">
        <v>61</v>
      </c>
      <c r="C62" s="137">
        <v>23772806.682994787</v>
      </c>
      <c r="G62" s="35">
        <f>SUM(C5:J7)</f>
        <v>61554679.41922161</v>
      </c>
      <c r="H62" s="53"/>
      <c r="I62" s="35">
        <f>812610.87+754567.24</f>
        <v>1567178.1099999999</v>
      </c>
      <c r="P62" s="36" t="s">
        <v>263</v>
      </c>
      <c r="Q62" s="37">
        <v>4.4730447304473002E-2</v>
      </c>
      <c r="S62" s="22" t="s">
        <v>127</v>
      </c>
      <c r="T62" s="61">
        <f>($C$5+$D$5+$E$5+$F$5+$G$5+$H$5+$I$5+$J$5+$K$5)*Table53[[#This Row],[Locality''s Allocation Percentage ]]</f>
        <v>181887.82870340804</v>
      </c>
      <c r="U62" s="61">
        <f>($C$6+$D$6+$E$6+$F$6+$G$6+$H$6+$I$6+$J$6+$K$6)*Table53[[#This Row],[Locality''s Allocation Percentage ]]</f>
        <v>1151449.1190293853</v>
      </c>
      <c r="V62" s="61">
        <f>($C$7+$D$7+$E$7+$F$7+$G$7+$H$7+$I$7+$J$7+$K$7)*Table53[[#This Row],[Locality''s Allocation Percentage ]]</f>
        <v>1420031.3963724277</v>
      </c>
      <c r="W62" s="61">
        <f>($C$8+$D$8+$E$8+$F$8+$G$8+$H$8+$I$8+$J$8+$K$8)*Table53[[#This Row],[Locality''s Allocation Percentage ]]</f>
        <v>544578.89684175188</v>
      </c>
      <c r="X62" s="61">
        <f>($C$9+$D$9+$E$9+$F$9+$G$9+$H$9+$I$9+$J$9+$K$9)*Table53[[#This Row],[Locality''s Allocation Percentage ]]</f>
        <v>585185.21730767447</v>
      </c>
      <c r="Y62" s="61">
        <f>($C$10+$D$10+$E$10+$F$10+$G$10+$H$10+$I$10+$J$10+$K$10)*Table53[[#This Row],[Locality''s Allocation Percentage ]]</f>
        <v>621912.26027245843</v>
      </c>
      <c r="Z62" s="61">
        <f>($C$11+$D$11+$E$11+$F$11+$G$11+$H$11+$I$11+$J$11+$K$11)*Table53[[#This Row],[Locality''s Allocation Percentage ]]</f>
        <v>473811.64336030971</v>
      </c>
      <c r="AA62" s="61">
        <f>($C$12+$D$12+$E$12+$F$12+$G$12+$H$12+$I$12+$J$12+$K$12)*Table53[[#This Row],[Locality''s Allocation Percentage ]]</f>
        <v>664050.46962644032</v>
      </c>
      <c r="AB62" s="61">
        <f>($C$13+$D$13+$E$13+$F$13+$G$13+$H$13+$I$13+$J$13+$K$13)*Table53[[#This Row],[Locality''s Allocation Percentage ]]</f>
        <v>667071.8564346038</v>
      </c>
      <c r="AC62" s="61">
        <f>($C$14+$D$14+$E$14+$F$14+$G$14+$H$14+$I$14+$J$14+$K$14)*Table53[[#This Row],[Locality''s Allocation Percentage ]]</f>
        <v>624574.65648015356</v>
      </c>
      <c r="AD62" s="61">
        <f>($C$15+$D$15+$E$15+$F$15+$G$15+$H$15+$I$15+$J$15+$K$15)*Table53[[#This Row],[Locality''s Allocation Percentage ]]</f>
        <v>579609.10541211045</v>
      </c>
      <c r="AE62" s="61">
        <f>($C$16+$D$16+$E$16+$F$16+$G$16+$H$16+$I$16+$J$16+$K$16)*Table53[[#This Row],[Locality''s Allocation Percentage ]]</f>
        <v>532849.15580020647</v>
      </c>
      <c r="AF62" s="61">
        <f>($C$17+$D$17+$E$17+$F$17+$G$17+$H$17+$I$17+$J$17+$K$17)*Table53[[#This Row],[Locality''s Allocation Percentage ]]</f>
        <v>406641.78303025698</v>
      </c>
      <c r="AG62" s="61">
        <f>($C$18+$D$18+$E$18+$F$18+$G$18+$H$18+$I$18+$J$18+$K$18)*Table53[[#This Row],[Locality''s Allocation Percentage ]]</f>
        <v>406641.78303025698</v>
      </c>
      <c r="AH62" s="61">
        <f>($C$19+$D$19+$E$19+$F$19+$G$19+$H$19+$I$19+$J$19+$K$19)*Table53[[#This Row],[Locality''s Allocation Percentage ]]</f>
        <v>406641.78303025698</v>
      </c>
      <c r="AI62" s="61">
        <f>($C$20+$D$20+$E$20+$F$20+$G$20+$H$20+$I$20+$J$20+$K$20)*Table53[[#This Row],[Locality''s Allocation Percentage ]]</f>
        <v>337860.3113211809</v>
      </c>
      <c r="AJ62" s="61">
        <f>($C$21+$D$21+$E$21+$F$21+$G$21+$H$21+$I$21+$J$21+$K$21)*Table53[[#This Row],[Locality''s Allocation Percentage ]]</f>
        <v>337860.3113211809</v>
      </c>
      <c r="AK62" s="61">
        <f>($C$22+$D$22+$E$22+$F$22+$G$22+$H$22+$I$22+$J$22+$K$22)*Table53[[#This Row],[Locality''s Allocation Percentage ]]</f>
        <v>236541.79763122593</v>
      </c>
      <c r="AL62" s="61"/>
      <c r="AM62" s="61"/>
      <c r="AN62" s="61">
        <f>$L$6*Table53[[#This Row],[Locality''s Allocation Percentage ]]</f>
        <v>416654.7239096241</v>
      </c>
      <c r="AO62" s="61">
        <f>$L$7*Table53[[#This Row],[Locality''s Allocation Percentage ]]</f>
        <v>482299.27821005916</v>
      </c>
      <c r="AP62" s="61">
        <f>$L$8*Table53[[#This Row],[Locality''s Allocation Percentage ]]</f>
        <v>187814.17930028727</v>
      </c>
      <c r="AQ62" s="61">
        <f>$L$9*Table53[[#This Row],[Locality''s Allocation Percentage ]]</f>
        <v>206061.80151913804</v>
      </c>
      <c r="AR62" s="61">
        <f>$L$10*Table53[[#This Row],[Locality''s Allocation Percentage ]]</f>
        <v>219528.38393955884</v>
      </c>
      <c r="AS62" s="61">
        <f>$L$11*Table53[[#This Row],[Locality''s Allocation Percentage ]]</f>
        <v>165224.8244051043</v>
      </c>
      <c r="AT62" s="61">
        <f>$L$12*Table53[[#This Row],[Locality''s Allocation Percentage ]]</f>
        <v>234979.06070268553</v>
      </c>
      <c r="AU62" s="61">
        <f>$L$13*Table53[[#This Row],[Locality''s Allocation Percentage ]]</f>
        <v>236389.36028048696</v>
      </c>
      <c r="AV62" s="61">
        <f>$L$14*Table53[[#This Row],[Locality''s Allocation Percentage ]]</f>
        <v>219846.65544819503</v>
      </c>
      <c r="AW62" s="61">
        <f>$L$15*Table53[[#This Row],[Locality''s Allocation Percentage ]]</f>
        <v>203364.08687279138</v>
      </c>
      <c r="AX62" s="61">
        <f>$L$16*Table53[[#This Row],[Locality''s Allocation Percentage ]]</f>
        <v>186218.77201509324</v>
      </c>
      <c r="AY62" s="61">
        <f>$L$17*Table53[[#This Row],[Locality''s Allocation Percentage ]]</f>
        <v>145386.97494246255</v>
      </c>
      <c r="AZ62" s="61">
        <f>$L$18*Table53[[#This Row],[Locality''s Allocation Percentage ]]</f>
        <v>145386.97494246255</v>
      </c>
      <c r="BA62" s="61">
        <f>$L$19*Table53[[#This Row],[Locality''s Allocation Percentage ]]</f>
        <v>145386.97494246255</v>
      </c>
      <c r="BB62" s="61">
        <f>$L$20*Table53[[#This Row],[Locality''s Allocation Percentage ]]</f>
        <v>120167.10198246798</v>
      </c>
      <c r="BC62" s="61">
        <f>$L$21*Table53[[#This Row],[Locality''s Allocation Percentage ]]</f>
        <v>120167.10198246798</v>
      </c>
      <c r="BD62" s="61">
        <f>$L$22*Table53[[#This Row],[Locality''s Allocation Percentage ]]</f>
        <v>86731.99246478283</v>
      </c>
      <c r="BE62" s="61"/>
      <c r="BF62" s="61">
        <f t="shared" si="3"/>
        <v>0</v>
      </c>
      <c r="BG62" s="61">
        <f t="shared" si="3"/>
        <v>104163.68097740602</v>
      </c>
      <c r="BH62" s="61">
        <f t="shared" si="40"/>
        <v>120574.81955251479</v>
      </c>
      <c r="BI62" s="61">
        <f t="shared" si="41"/>
        <v>46953.544825071818</v>
      </c>
      <c r="BJ62" s="61">
        <f t="shared" si="42"/>
        <v>51515.45037978451</v>
      </c>
      <c r="BK62" s="61">
        <f t="shared" si="43"/>
        <v>54882.095984889711</v>
      </c>
      <c r="BL62" s="61">
        <f t="shared" si="44"/>
        <v>41306.206101276075</v>
      </c>
      <c r="BM62" s="61">
        <f t="shared" si="45"/>
        <v>58744.765175671382</v>
      </c>
      <c r="BN62" s="61">
        <f t="shared" si="46"/>
        <v>59097.34007012174</v>
      </c>
      <c r="BO62" s="61">
        <f t="shared" si="47"/>
        <v>54961.663862048757</v>
      </c>
      <c r="BP62" s="61">
        <f t="shared" si="48"/>
        <v>50841.021718197844</v>
      </c>
      <c r="BQ62" s="61">
        <f t="shared" si="49"/>
        <v>46554.693003773311</v>
      </c>
      <c r="BR62" s="61">
        <f t="shared" si="50"/>
        <v>36346.743735615637</v>
      </c>
      <c r="BS62" s="61">
        <f t="shared" si="51"/>
        <v>36346.743735615637</v>
      </c>
      <c r="BT62" s="61">
        <f t="shared" si="52"/>
        <v>36346.743735615637</v>
      </c>
      <c r="BU62" s="61">
        <f t="shared" si="53"/>
        <v>30041.775495616996</v>
      </c>
      <c r="BV62" s="61">
        <f t="shared" si="54"/>
        <v>30041.775495616996</v>
      </c>
      <c r="BW62" s="61">
        <f t="shared" si="37"/>
        <v>21682.998116195708</v>
      </c>
      <c r="BX62" s="61"/>
      <c r="BY62" s="61">
        <f>($C$6+$D$6+$E$6)*Table53[[#This Row],[Locality''s Allocation Percentage ]]</f>
        <v>1151449.1190293853</v>
      </c>
      <c r="BZ62" s="61">
        <f>$L$6*Table53[[#This Row],[Locality''s Allocation Percentage ]]</f>
        <v>416654.7239096241</v>
      </c>
      <c r="CA62" s="61">
        <f t="shared" si="4"/>
        <v>104163.68097740602</v>
      </c>
      <c r="CB62" s="76">
        <f>($C$7+$D$7+$E$7)*Table53[[#This Row],[Locality''s Allocation Percentage ]]</f>
        <v>415257.32821215375</v>
      </c>
      <c r="CC62" s="76">
        <f>$L$7*Table53[[#This Row],[Locality''s Allocation Percentage ]]</f>
        <v>482299.27821005916</v>
      </c>
      <c r="CD62" s="76">
        <f t="shared" si="5"/>
        <v>120574.81955251479</v>
      </c>
    </row>
    <row r="63" spans="2:82" s="19" customFormat="1" ht="18" customHeight="1" x14ac:dyDescent="0.25">
      <c r="B63" s="136" t="s">
        <v>63</v>
      </c>
      <c r="C63" s="137">
        <v>23772806.682766777</v>
      </c>
      <c r="D63" s="19">
        <v>99269665.489999995</v>
      </c>
      <c r="E63" s="35">
        <f>D63-D52</f>
        <v>2031527.1759934127</v>
      </c>
      <c r="G63" s="35"/>
      <c r="L63" s="53">
        <f>L58*0.55</f>
        <v>2257313.9270000001</v>
      </c>
      <c r="P63" s="36" t="s">
        <v>264</v>
      </c>
      <c r="Q63" s="37">
        <v>1.2200122001220001E-2</v>
      </c>
      <c r="S63" s="22" t="s">
        <v>128</v>
      </c>
      <c r="T63" s="61">
        <f>($C$5+$D$5+$E$5+$F$5+$G$5+$H$5+$I$5+$J$5+$K$5)*Table53[[#This Row],[Locality''s Allocation Percentage ]]</f>
        <v>49609.468146245876</v>
      </c>
      <c r="U63" s="61">
        <f>($C$6+$D$6+$E$6+$F$6+$G$6+$H$6+$I$6+$J$6+$K$6)*Table53[[#This Row],[Locality''s Allocation Percentage ]]</f>
        <v>314054.97992753191</v>
      </c>
      <c r="V63" s="61">
        <f>($C$7+$D$7+$E$7+$F$7+$G$7+$H$7+$I$7+$J$7+$K$7)*Table53[[#This Row],[Locality''s Allocation Percentage ]]</f>
        <v>387310.15058671182</v>
      </c>
      <c r="W63" s="61">
        <f>($C$8+$D$8+$E$8+$F$8+$G$8+$H$8+$I$8+$J$8+$K$8)*Table53[[#This Row],[Locality''s Allocation Percentage ]]</f>
        <v>148532.58532236467</v>
      </c>
      <c r="X63" s="61">
        <f>($C$9+$D$9+$E$9+$F$9+$G$9+$H$9+$I$9+$J$9+$K$9)*Table53[[#This Row],[Locality''s Allocation Percentage ]]</f>
        <v>159607.86163992013</v>
      </c>
      <c r="Y63" s="61">
        <f>($C$10+$D$10+$E$10+$F$10+$G$10+$H$10+$I$10+$J$10+$K$10)*Table53[[#This Row],[Locality''s Allocation Percentage ]]</f>
        <v>169625.0743421416</v>
      </c>
      <c r="Z63" s="61">
        <f>($C$11+$D$11+$E$11+$F$11+$G$11+$H$11+$I$11+$J$11+$K$11)*Table53[[#This Row],[Locality''s Allocation Percentage ]]</f>
        <v>129230.98701086025</v>
      </c>
      <c r="AA63" s="61">
        <f>($C$12+$D$12+$E$12+$F$12+$G$12+$H$12+$I$12+$J$12+$K$12)*Table53[[#This Row],[Locality''s Allocation Percentage ]]</f>
        <v>181118.16967231326</v>
      </c>
      <c r="AB63" s="61">
        <f>($C$13+$D$13+$E$13+$F$13+$G$13+$H$13+$I$13+$J$13+$K$13)*Table53[[#This Row],[Locality''s Allocation Percentage ]]</f>
        <v>181942.24566291453</v>
      </c>
      <c r="AC63" s="61">
        <f>($C$14+$D$14+$E$14+$F$14+$G$14+$H$14+$I$14+$J$14+$K$14)*Table53[[#This Row],[Locality''s Allocation Percentage ]]</f>
        <v>170351.23650923034</v>
      </c>
      <c r="AD63" s="61">
        <f>($C$15+$D$15+$E$15+$F$15+$G$15+$H$15+$I$15+$J$15+$K$15)*Table53[[#This Row],[Locality''s Allocation Percentage ]]</f>
        <v>158086.99052152352</v>
      </c>
      <c r="AE63" s="61">
        <f>($C$16+$D$16+$E$16+$F$16+$G$16+$H$16+$I$16+$J$16+$K$16)*Table53[[#This Row],[Locality''s Allocation Percentage ]]</f>
        <v>145333.32664347236</v>
      </c>
      <c r="AF63" s="61">
        <f>($C$17+$D$17+$E$17+$F$17+$G$17+$H$17+$I$17+$J$17+$K$17)*Table53[[#This Row],[Locality''s Allocation Percentage ]]</f>
        <v>110910.56903575084</v>
      </c>
      <c r="AG63" s="61">
        <f>($C$18+$D$18+$E$18+$F$18+$G$18+$H$18+$I$18+$J$18+$K$18)*Table53[[#This Row],[Locality''s Allocation Percentage ]]</f>
        <v>110910.56903575084</v>
      </c>
      <c r="AH63" s="61">
        <f>($C$19+$D$19+$E$19+$F$19+$G$19+$H$19+$I$19+$J$19+$K$19)*Table53[[#This Row],[Locality''s Allocation Percentage ]]</f>
        <v>110910.56903575084</v>
      </c>
      <c r="AI63" s="61">
        <f>($C$20+$D$20+$E$20+$F$20+$G$20+$H$20+$I$20+$J$20+$K$20)*Table53[[#This Row],[Locality''s Allocation Percentage ]]</f>
        <v>92150.58793021254</v>
      </c>
      <c r="AJ63" s="61">
        <f>($C$21+$D$21+$E$21+$F$21+$G$21+$H$21+$I$21+$J$21+$K$21)*Table53[[#This Row],[Locality''s Allocation Percentage ]]</f>
        <v>92150.58793021254</v>
      </c>
      <c r="AK63" s="61">
        <f>($C$22+$D$22+$E$22+$F$22+$G$22+$H$22+$I$22+$J$22+$K$22)*Table53[[#This Row],[Locality''s Allocation Percentage ]]</f>
        <v>64516.206820946936</v>
      </c>
      <c r="AL63" s="61"/>
      <c r="AM63" s="61"/>
      <c r="AN63" s="61">
        <f>$L$6*Table53[[#This Row],[Locality''s Allocation Percentage ]]</f>
        <v>113641.57459640988</v>
      </c>
      <c r="AO63" s="61">
        <f>$L$7*Table53[[#This Row],[Locality''s Allocation Percentage ]]</f>
        <v>131545.96901772238</v>
      </c>
      <c r="AP63" s="61">
        <f>$L$8*Table53[[#This Row],[Locality''s Allocation Percentage ]]</f>
        <v>51225.866028694494</v>
      </c>
      <c r="AQ63" s="61">
        <f>$L$9*Table53[[#This Row],[Locality''s Allocation Percentage ]]</f>
        <v>56202.861134216051</v>
      </c>
      <c r="AR63" s="61">
        <f>$L$10*Table53[[#This Row],[Locality''s Allocation Percentage ]]</f>
        <v>59875.839125030587</v>
      </c>
      <c r="AS63" s="61">
        <f>$L$11*Table53[[#This Row],[Locality''s Allocation Percentage ]]</f>
        <v>45064.673770227419</v>
      </c>
      <c r="AT63" s="61">
        <f>$L$12*Table53[[#This Row],[Locality''s Allocation Percentage ]]</f>
        <v>64089.974079426858</v>
      </c>
      <c r="AU63" s="61">
        <f>$L$13*Table53[[#This Row],[Locality''s Allocation Percentage ]]</f>
        <v>64474.629899886895</v>
      </c>
      <c r="AV63" s="61">
        <f>$L$14*Table53[[#This Row],[Locality''s Allocation Percentage ]]</f>
        <v>59962.646914106401</v>
      </c>
      <c r="AW63" s="61">
        <f>$L$15*Table53[[#This Row],[Locality''s Allocation Percentage ]]</f>
        <v>55467.065947866198</v>
      </c>
      <c r="AX63" s="61">
        <f>$L$16*Table53[[#This Row],[Locality''s Allocation Percentage ]]</f>
        <v>50790.722525914098</v>
      </c>
      <c r="AY63" s="61">
        <f>$L$17*Table53[[#This Row],[Locality''s Allocation Percentage ]]</f>
        <v>39653.948005768907</v>
      </c>
      <c r="AZ63" s="61">
        <f>$L$18*Table53[[#This Row],[Locality''s Allocation Percentage ]]</f>
        <v>39653.948005768907</v>
      </c>
      <c r="BA63" s="61">
        <f>$L$19*Table53[[#This Row],[Locality''s Allocation Percentage ]]</f>
        <v>39653.948005768907</v>
      </c>
      <c r="BB63" s="61">
        <f>$L$20*Table53[[#This Row],[Locality''s Allocation Percentage ]]</f>
        <v>32775.288267071526</v>
      </c>
      <c r="BC63" s="61">
        <f>$L$21*Table53[[#This Row],[Locality''s Allocation Percentage ]]</f>
        <v>32775.288267071526</v>
      </c>
      <c r="BD63" s="61">
        <f>$L$22*Table53[[#This Row],[Locality''s Allocation Percentage ]]</f>
        <v>23655.942501013873</v>
      </c>
      <c r="BE63" s="61"/>
      <c r="BF63" s="61">
        <f t="shared" si="3"/>
        <v>0</v>
      </c>
      <c r="BG63" s="61">
        <f t="shared" si="3"/>
        <v>28410.393649102469</v>
      </c>
      <c r="BH63" s="61">
        <f t="shared" si="40"/>
        <v>32886.492254430595</v>
      </c>
      <c r="BI63" s="61">
        <f t="shared" si="41"/>
        <v>12806.466507173624</v>
      </c>
      <c r="BJ63" s="61">
        <f t="shared" si="42"/>
        <v>14050.715283554013</v>
      </c>
      <c r="BK63" s="61">
        <f t="shared" si="43"/>
        <v>14968.959781257647</v>
      </c>
      <c r="BL63" s="61">
        <f t="shared" si="44"/>
        <v>11266.168442556855</v>
      </c>
      <c r="BM63" s="61">
        <f t="shared" si="45"/>
        <v>16022.493519856715</v>
      </c>
      <c r="BN63" s="61">
        <f t="shared" si="46"/>
        <v>16118.657474971724</v>
      </c>
      <c r="BO63" s="61">
        <f t="shared" si="47"/>
        <v>14990.6617285266</v>
      </c>
      <c r="BP63" s="61">
        <f t="shared" si="48"/>
        <v>13866.76648696655</v>
      </c>
      <c r="BQ63" s="61">
        <f t="shared" si="49"/>
        <v>12697.680631478524</v>
      </c>
      <c r="BR63" s="61">
        <f t="shared" si="50"/>
        <v>9913.4870014422268</v>
      </c>
      <c r="BS63" s="61">
        <f t="shared" si="51"/>
        <v>9913.4870014422268</v>
      </c>
      <c r="BT63" s="61">
        <f t="shared" si="52"/>
        <v>9913.4870014422268</v>
      </c>
      <c r="BU63" s="61">
        <f t="shared" si="53"/>
        <v>8193.8220667678816</v>
      </c>
      <c r="BV63" s="61">
        <f t="shared" si="54"/>
        <v>8193.8220667678816</v>
      </c>
      <c r="BW63" s="61">
        <f t="shared" si="37"/>
        <v>5913.9856252534682</v>
      </c>
      <c r="BX63" s="61"/>
      <c r="BY63" s="61">
        <f>($C$6+$D$6+$E$6)*Table53[[#This Row],[Locality''s Allocation Percentage ]]</f>
        <v>314054.97992753191</v>
      </c>
      <c r="BZ63" s="61">
        <f>$L$6*Table53[[#This Row],[Locality''s Allocation Percentage ]]</f>
        <v>113641.57459640988</v>
      </c>
      <c r="CA63" s="61">
        <f t="shared" si="4"/>
        <v>28410.393649102469</v>
      </c>
      <c r="CB63" s="76">
        <f>($C$7+$D$7+$E$7)*Table53[[#This Row],[Locality''s Allocation Percentage ]]</f>
        <v>113260.43827829813</v>
      </c>
      <c r="CC63" s="76">
        <f>$L$7*Table53[[#This Row],[Locality''s Allocation Percentage ]]</f>
        <v>131545.96901772238</v>
      </c>
      <c r="CD63" s="76">
        <f t="shared" si="5"/>
        <v>32886.492254430595</v>
      </c>
    </row>
    <row r="64" spans="2:82" s="19" customFormat="1" ht="18" customHeight="1" x14ac:dyDescent="0.25">
      <c r="B64" s="136" t="s">
        <v>65</v>
      </c>
      <c r="C64" s="137">
        <v>23772806.682538766</v>
      </c>
      <c r="P64" s="36" t="s">
        <v>265</v>
      </c>
      <c r="Q64" s="37">
        <v>2.30002300023E-4</v>
      </c>
      <c r="S64" s="22" t="s">
        <v>129</v>
      </c>
      <c r="T64" s="61">
        <f>($C$5+$D$5+$E$5+$F$5+$G$5+$H$5+$I$5+$J$5+$K$5)*Table53[[#This Row],[Locality''s Allocation Percentage ]]</f>
        <v>935.2604650521763</v>
      </c>
      <c r="U64" s="61">
        <f>($C$6+$D$6+$E$6+$F$6+$G$6+$H$6+$I$6+$J$6+$K$6)*Table53[[#This Row],[Locality''s Allocation Percentage ]]</f>
        <v>5920.7086379780594</v>
      </c>
      <c r="V64" s="61">
        <f>($C$7+$D$7+$E$7+$F$7+$G$7+$H$7+$I$7+$J$7+$K$7)*Table53[[#This Row],[Locality''s Allocation Percentage ]]</f>
        <v>7301.7487405691563</v>
      </c>
      <c r="W64" s="61">
        <f>($C$8+$D$8+$E$8+$F$8+$G$8+$H$8+$I$8+$J$8+$K$8)*Table53[[#This Row],[Locality''s Allocation Percentage ]]</f>
        <v>2800.2044773888424</v>
      </c>
      <c r="X64" s="61">
        <f>($C$9+$D$9+$E$9+$F$9+$G$9+$H$9+$I$9+$J$9+$K$9)*Table53[[#This Row],[Locality''s Allocation Percentage ]]</f>
        <v>3009.0006702607893</v>
      </c>
      <c r="Y64" s="61">
        <f>($C$10+$D$10+$E$10+$F$10+$G$10+$H$10+$I$10+$J$10+$K$10)*Table53[[#This Row],[Locality''s Allocation Percentage ]]</f>
        <v>3197.8497621879151</v>
      </c>
      <c r="Z64" s="61">
        <f>($C$11+$D$11+$E$11+$F$11+$G$11+$H$11+$I$11+$J$11+$K$11)*Table53[[#This Row],[Locality''s Allocation Percentage ]]</f>
        <v>2436.3218862703161</v>
      </c>
      <c r="AA64" s="61">
        <f>($C$12+$D$12+$E$12+$F$12+$G$12+$H$12+$I$12+$J$12+$K$12)*Table53[[#This Row],[Locality''s Allocation Percentage ]]</f>
        <v>3414.522870871479</v>
      </c>
      <c r="AB64" s="61">
        <f>($C$13+$D$13+$E$13+$F$13+$G$13+$H$13+$I$13+$J$13+$K$13)*Table53[[#This Row],[Locality''s Allocation Percentage ]]</f>
        <v>3430.0587297106836</v>
      </c>
      <c r="AC64" s="61">
        <f>($C$14+$D$14+$E$14+$F$14+$G$14+$H$14+$I$14+$J$14+$K$14)*Table53[[#This Row],[Locality''s Allocation Percentage ]]</f>
        <v>3211.5397046822113</v>
      </c>
      <c r="AD64" s="61">
        <f>($C$15+$D$15+$E$15+$F$15+$G$15+$H$15+$I$15+$J$15+$K$15)*Table53[[#This Row],[Locality''s Allocation Percentage ]]</f>
        <v>2980.3285098320007</v>
      </c>
      <c r="AE64" s="61">
        <f>($C$16+$D$16+$E$16+$F$16+$G$16+$H$16+$I$16+$J$16+$K$16)*Table53[[#This Row],[Locality''s Allocation Percentage ]]</f>
        <v>2739.8905842621839</v>
      </c>
      <c r="AF64" s="61">
        <f>($C$17+$D$17+$E$17+$F$17+$G$17+$H$17+$I$17+$J$17+$K$17)*Table53[[#This Row],[Locality''s Allocation Percentage ]]</f>
        <v>2090.9369572313685</v>
      </c>
      <c r="AG64" s="61">
        <f>($C$18+$D$18+$E$18+$F$18+$G$18+$H$18+$I$18+$J$18+$K$18)*Table53[[#This Row],[Locality''s Allocation Percentage ]]</f>
        <v>2090.9369572313685</v>
      </c>
      <c r="AH64" s="61">
        <f>($C$19+$D$19+$E$19+$F$19+$G$19+$H$19+$I$19+$J$19+$K$19)*Table53[[#This Row],[Locality''s Allocation Percentage ]]</f>
        <v>2090.9369572313685</v>
      </c>
      <c r="AI64" s="61">
        <f>($C$20+$D$20+$E$20+$F$20+$G$20+$H$20+$I$20+$J$20+$K$20)*Table53[[#This Row],[Locality''s Allocation Percentage ]]</f>
        <v>1737.265182290892</v>
      </c>
      <c r="AJ64" s="61">
        <f>($C$21+$D$21+$E$21+$F$21+$G$21+$H$21+$I$21+$J$21+$K$21)*Table53[[#This Row],[Locality''s Allocation Percentage ]]</f>
        <v>1737.265182290892</v>
      </c>
      <c r="AK64" s="61">
        <f>($C$22+$D$22+$E$22+$F$22+$G$22+$H$22+$I$22+$J$22+$K$22)*Table53[[#This Row],[Locality''s Allocation Percentage ]]</f>
        <v>1216.2891449850651</v>
      </c>
      <c r="AL64" s="61"/>
      <c r="AM64" s="61"/>
      <c r="AN64" s="61">
        <f>$L$6*Table53[[#This Row],[Locality''s Allocation Percentage ]]</f>
        <v>2142.4231276372352</v>
      </c>
      <c r="AO64" s="61">
        <f>$L$7*Table53[[#This Row],[Locality''s Allocation Percentage ]]</f>
        <v>2479.9649896783726</v>
      </c>
      <c r="AP64" s="61">
        <f>$L$8*Table53[[#This Row],[Locality''s Allocation Percentage ]]</f>
        <v>965.7335398852241</v>
      </c>
      <c r="AQ64" s="61">
        <f>$L$9*Table53[[#This Row],[Locality''s Allocation Percentage ]]</f>
        <v>1059.5621361368599</v>
      </c>
      <c r="AR64" s="61">
        <f>$L$10*Table53[[#This Row],[Locality''s Allocation Percentage ]]</f>
        <v>1128.8068031768059</v>
      </c>
      <c r="AS64" s="61">
        <f>$L$11*Table53[[#This Row],[Locality''s Allocation Percentage ]]</f>
        <v>849.57991534035295</v>
      </c>
      <c r="AT64" s="61">
        <f>$L$12*Table53[[#This Row],[Locality''s Allocation Percentage ]]</f>
        <v>1208.2536096941128</v>
      </c>
      <c r="AU64" s="61">
        <f>$L$13*Table53[[#This Row],[Locality''s Allocation Percentage ]]</f>
        <v>1215.5053177847528</v>
      </c>
      <c r="AV64" s="61">
        <f>$L$14*Table53[[#This Row],[Locality''s Allocation Percentage ]]</f>
        <v>1130.4433434626617</v>
      </c>
      <c r="AW64" s="61">
        <f>$L$15*Table53[[#This Row],[Locality''s Allocation Percentage ]]</f>
        <v>1045.6905875417397</v>
      </c>
      <c r="AX64" s="61">
        <f>$L$16*Table53[[#This Row],[Locality''s Allocation Percentage ]]</f>
        <v>957.53001483280673</v>
      </c>
      <c r="AY64" s="61">
        <f>$L$17*Table53[[#This Row],[Locality''s Allocation Percentage ]]</f>
        <v>747.57442961695472</v>
      </c>
      <c r="AZ64" s="61">
        <f>$L$18*Table53[[#This Row],[Locality''s Allocation Percentage ]]</f>
        <v>747.57442961695472</v>
      </c>
      <c r="BA64" s="61">
        <f>$L$19*Table53[[#This Row],[Locality''s Allocation Percentage ]]</f>
        <v>747.57442961695472</v>
      </c>
      <c r="BB64" s="61">
        <f>$L$20*Table53[[#This Row],[Locality''s Allocation Percentage ]]</f>
        <v>617.89477880544678</v>
      </c>
      <c r="BC64" s="61">
        <f>$L$21*Table53[[#This Row],[Locality''s Allocation Percentage ]]</f>
        <v>617.89477880544678</v>
      </c>
      <c r="BD64" s="61">
        <f>$L$22*Table53[[#This Row],[Locality''s Allocation Percentage ]]</f>
        <v>445.97268649452383</v>
      </c>
      <c r="BE64" s="61"/>
      <c r="BF64" s="61">
        <f t="shared" si="3"/>
        <v>0</v>
      </c>
      <c r="BG64" s="61">
        <f t="shared" si="3"/>
        <v>535.6057819093088</v>
      </c>
      <c r="BH64" s="61">
        <f t="shared" si="40"/>
        <v>619.99124741959315</v>
      </c>
      <c r="BI64" s="61">
        <f t="shared" si="41"/>
        <v>241.43338497130603</v>
      </c>
      <c r="BJ64" s="61">
        <f t="shared" si="42"/>
        <v>264.89053403421497</v>
      </c>
      <c r="BK64" s="61">
        <f t="shared" si="43"/>
        <v>282.20170079420149</v>
      </c>
      <c r="BL64" s="61">
        <f t="shared" si="44"/>
        <v>212.39497883508824</v>
      </c>
      <c r="BM64" s="61">
        <f t="shared" si="45"/>
        <v>302.0634024235282</v>
      </c>
      <c r="BN64" s="61">
        <f t="shared" si="46"/>
        <v>303.87632944618821</v>
      </c>
      <c r="BO64" s="61">
        <f t="shared" si="47"/>
        <v>282.61083586566542</v>
      </c>
      <c r="BP64" s="61">
        <f t="shared" si="48"/>
        <v>261.42264688543492</v>
      </c>
      <c r="BQ64" s="61">
        <f t="shared" si="49"/>
        <v>239.38250370820168</v>
      </c>
      <c r="BR64" s="61">
        <f t="shared" si="50"/>
        <v>186.89360740423868</v>
      </c>
      <c r="BS64" s="61">
        <f t="shared" si="51"/>
        <v>186.89360740423868</v>
      </c>
      <c r="BT64" s="61">
        <f t="shared" si="52"/>
        <v>186.89360740423868</v>
      </c>
      <c r="BU64" s="61">
        <f t="shared" si="53"/>
        <v>154.47369470136169</v>
      </c>
      <c r="BV64" s="61">
        <f t="shared" si="54"/>
        <v>154.47369470136169</v>
      </c>
      <c r="BW64" s="61">
        <f t="shared" si="37"/>
        <v>111.49317162363096</v>
      </c>
      <c r="BX64" s="61"/>
      <c r="BY64" s="61">
        <f>($C$6+$D$6+$E$6)*Table53[[#This Row],[Locality''s Allocation Percentage ]]</f>
        <v>5920.7086379780594</v>
      </c>
      <c r="BZ64" s="61">
        <f>$L$6*Table53[[#This Row],[Locality''s Allocation Percentage ]]</f>
        <v>2142.4231276372352</v>
      </c>
      <c r="CA64" s="61">
        <f t="shared" si="4"/>
        <v>535.6057819093088</v>
      </c>
      <c r="CB64" s="76">
        <f>($C$7+$D$7+$E$7)*Table53[[#This Row],[Locality''s Allocation Percentage ]]</f>
        <v>2135.2377708203744</v>
      </c>
      <c r="CC64" s="76">
        <f>$L$7*Table53[[#This Row],[Locality''s Allocation Percentage ]]</f>
        <v>2479.9649896783726</v>
      </c>
      <c r="CD64" s="76">
        <f t="shared" si="5"/>
        <v>619.99124741959315</v>
      </c>
    </row>
    <row r="65" spans="2:82" s="19" customFormat="1" ht="18" customHeight="1" x14ac:dyDescent="0.25">
      <c r="B65" s="136" t="s">
        <v>66</v>
      </c>
      <c r="C65" s="137">
        <v>16403236.609999999</v>
      </c>
      <c r="F65" s="19">
        <f>13075043.68/0.55</f>
        <v>23772806.690909088</v>
      </c>
      <c r="L65" s="53">
        <f>L58*0.3</f>
        <v>1231262.142</v>
      </c>
      <c r="P65" s="36" t="s">
        <v>130</v>
      </c>
      <c r="Q65" s="37">
        <v>3.4400344003439999E-3</v>
      </c>
      <c r="S65" s="22" t="s">
        <v>130</v>
      </c>
      <c r="T65" s="61">
        <f>($C$5+$D$5+$E$5+$F$5+$G$5+$H$5+$I$5+$J$5+$K$5)*Table53[[#This Row],[Locality''s Allocation Percentage ]]</f>
        <v>13988.243477302116</v>
      </c>
      <c r="U65" s="61">
        <f>($C$6+$D$6+$E$6+$F$6+$G$6+$H$6+$I$6+$J$6+$K$6)*Table53[[#This Row],[Locality''s Allocation Percentage ]]</f>
        <v>88553.207454976204</v>
      </c>
      <c r="V65" s="61">
        <f>($C$7+$D$7+$E$7+$F$7+$G$7+$H$7+$I$7+$J$7+$K$7)*Table53[[#This Row],[Locality''s Allocation Percentage ]]</f>
        <v>109208.76377199087</v>
      </c>
      <c r="W65" s="61">
        <f>($C$8+$D$8+$E$8+$F$8+$G$8+$H$8+$I$8+$J$8+$K$8)*Table53[[#This Row],[Locality''s Allocation Percentage ]]</f>
        <v>41881.319140076594</v>
      </c>
      <c r="X65" s="61">
        <f>($C$9+$D$9+$E$9+$F$9+$G$9+$H$9+$I$9+$J$9+$K$9)*Table53[[#This Row],[Locality''s Allocation Percentage ]]</f>
        <v>45004.183937813548</v>
      </c>
      <c r="Y65" s="61">
        <f>($C$10+$D$10+$E$10+$F$10+$G$10+$H$10+$I$10+$J$10+$K$10)*Table53[[#This Row],[Locality''s Allocation Percentage ]]</f>
        <v>47828.709486636639</v>
      </c>
      <c r="Z65" s="61">
        <f>($C$11+$D$11+$E$11+$F$11+$G$11+$H$11+$I$11+$J$11+$K$11)*Table53[[#This Row],[Locality''s Allocation Percentage ]]</f>
        <v>36438.901255521247</v>
      </c>
      <c r="AA65" s="61">
        <f>($C$12+$D$12+$E$12+$F$12+$G$12+$H$12+$I$12+$J$12+$K$12)*Table53[[#This Row],[Locality''s Allocation Percentage ]]</f>
        <v>51069.385546947342</v>
      </c>
      <c r="AB65" s="61">
        <f>($C$13+$D$13+$E$13+$F$13+$G$13+$H$13+$I$13+$J$13+$K$13)*Table53[[#This Row],[Locality''s Allocation Percentage ]]</f>
        <v>51301.747957411964</v>
      </c>
      <c r="AC65" s="61">
        <f>($C$14+$D$14+$E$14+$F$14+$G$14+$H$14+$I$14+$J$14+$K$14)*Table53[[#This Row],[Locality''s Allocation Percentage ]]</f>
        <v>48033.463409160024</v>
      </c>
      <c r="AD65" s="61">
        <f>($C$15+$D$15+$E$15+$F$15+$G$15+$H$15+$I$15+$J$15+$K$15)*Table53[[#This Row],[Locality''s Allocation Percentage ]]</f>
        <v>44575.348147052529</v>
      </c>
      <c r="AE65" s="61">
        <f>($C$16+$D$16+$E$16+$F$16+$G$16+$H$16+$I$16+$J$16+$K$16)*Table53[[#This Row],[Locality''s Allocation Percentage ]]</f>
        <v>40979.233086356136</v>
      </c>
      <c r="AF65" s="61">
        <f>($C$17+$D$17+$E$17+$F$17+$G$17+$H$17+$I$17+$J$17+$K$17)*Table53[[#This Row],[Locality''s Allocation Percentage ]]</f>
        <v>31273.144055982204</v>
      </c>
      <c r="AG65" s="61">
        <f>($C$18+$D$18+$E$18+$F$18+$G$18+$H$18+$I$18+$J$18+$K$18)*Table53[[#This Row],[Locality''s Allocation Percentage ]]</f>
        <v>31273.144055982204</v>
      </c>
      <c r="AH65" s="61">
        <f>($C$19+$D$19+$E$19+$F$19+$G$19+$H$19+$I$19+$J$19+$K$19)*Table53[[#This Row],[Locality''s Allocation Percentage ]]</f>
        <v>31273.144055982204</v>
      </c>
      <c r="AI65" s="61">
        <f>($C$20+$D$20+$E$20+$F$20+$G$20+$H$20+$I$20+$J$20+$K$20)*Table53[[#This Row],[Locality''s Allocation Percentage ]]</f>
        <v>25983.444465568125</v>
      </c>
      <c r="AJ65" s="61">
        <f>($C$21+$D$21+$E$21+$F$21+$G$21+$H$21+$I$21+$J$21+$K$21)*Table53[[#This Row],[Locality''s Allocation Percentage ]]</f>
        <v>25983.444465568125</v>
      </c>
      <c r="AK65" s="61">
        <f>($C$22+$D$22+$E$22+$F$22+$G$22+$H$22+$I$22+$J$22+$K$22)*Table53[[#This Row],[Locality''s Allocation Percentage ]]</f>
        <v>18191.455038037497</v>
      </c>
      <c r="AL65" s="61"/>
      <c r="AM65" s="61"/>
      <c r="AN65" s="61">
        <f>$L$6*Table53[[#This Row],[Locality''s Allocation Percentage ]]</f>
        <v>32043.198082922128</v>
      </c>
      <c r="AO65" s="61">
        <f>$L$7*Table53[[#This Row],[Locality''s Allocation Percentage ]]</f>
        <v>37091.650280406961</v>
      </c>
      <c r="AP65" s="61">
        <f>$L$8*Table53[[#This Row],[Locality''s Allocation Percentage ]]</f>
        <v>14444.014683500744</v>
      </c>
      <c r="AQ65" s="61">
        <f>$L$9*Table53[[#This Row],[Locality''s Allocation Percentage ]]</f>
        <v>15847.364123090427</v>
      </c>
      <c r="AR65" s="61">
        <f>$L$10*Table53[[#This Row],[Locality''s Allocation Percentage ]]</f>
        <v>16883.023490992229</v>
      </c>
      <c r="AS65" s="61">
        <f>$L$11*Table53[[#This Row],[Locality''s Allocation Percentage ]]</f>
        <v>12706.760472916583</v>
      </c>
      <c r="AT65" s="61">
        <f>$L$12*Table53[[#This Row],[Locality''s Allocation Percentage ]]</f>
        <v>18071.271379772817</v>
      </c>
      <c r="AU65" s="61">
        <f>$L$13*Table53[[#This Row],[Locality''s Allocation Percentage ]]</f>
        <v>18179.731709476306</v>
      </c>
      <c r="AV65" s="61">
        <f>$L$14*Table53[[#This Row],[Locality''s Allocation Percentage ]]</f>
        <v>16907.50044135459</v>
      </c>
      <c r="AW65" s="61">
        <f>$L$15*Table53[[#This Row],[Locality''s Allocation Percentage ]]</f>
        <v>15639.894004972108</v>
      </c>
      <c r="AX65" s="61">
        <f>$L$16*Table53[[#This Row],[Locality''s Allocation Percentage ]]</f>
        <v>14321.318482716761</v>
      </c>
      <c r="AY65" s="61">
        <f>$L$17*Table53[[#This Row],[Locality''s Allocation Percentage ]]</f>
        <v>11181.113208184019</v>
      </c>
      <c r="AZ65" s="61">
        <f>$L$18*Table53[[#This Row],[Locality''s Allocation Percentage ]]</f>
        <v>11181.113208184019</v>
      </c>
      <c r="BA65" s="61">
        <f>$L$19*Table53[[#This Row],[Locality''s Allocation Percentage ]]</f>
        <v>11181.113208184019</v>
      </c>
      <c r="BB65" s="61">
        <f>$L$20*Table53[[#This Row],[Locality''s Allocation Percentage ]]</f>
        <v>9241.5566916988573</v>
      </c>
      <c r="BC65" s="61">
        <f>$L$21*Table53[[#This Row],[Locality''s Allocation Percentage ]]</f>
        <v>9241.5566916988573</v>
      </c>
      <c r="BD65" s="61">
        <f>$L$22*Table53[[#This Row],[Locality''s Allocation Percentage ]]</f>
        <v>6670.2001806137478</v>
      </c>
      <c r="BE65" s="61"/>
      <c r="BF65" s="61">
        <f t="shared" si="3"/>
        <v>0</v>
      </c>
      <c r="BG65" s="61">
        <f t="shared" si="3"/>
        <v>8010.7995207305321</v>
      </c>
      <c r="BH65" s="61">
        <f t="shared" si="40"/>
        <v>9272.9125701017401</v>
      </c>
      <c r="BI65" s="61">
        <f t="shared" si="41"/>
        <v>3611.0036708751859</v>
      </c>
      <c r="BJ65" s="61">
        <f t="shared" si="42"/>
        <v>3961.8410307726067</v>
      </c>
      <c r="BK65" s="61">
        <f t="shared" si="43"/>
        <v>4220.7558727480573</v>
      </c>
      <c r="BL65" s="61">
        <f t="shared" si="44"/>
        <v>3176.6901182291458</v>
      </c>
      <c r="BM65" s="61">
        <f t="shared" si="45"/>
        <v>4517.8178449432044</v>
      </c>
      <c r="BN65" s="61">
        <f t="shared" si="46"/>
        <v>4544.9329273690764</v>
      </c>
      <c r="BO65" s="61">
        <f t="shared" si="47"/>
        <v>4226.8751103386476</v>
      </c>
      <c r="BP65" s="61">
        <f t="shared" si="48"/>
        <v>3909.9735012430269</v>
      </c>
      <c r="BQ65" s="61">
        <f t="shared" si="49"/>
        <v>3580.3296206791902</v>
      </c>
      <c r="BR65" s="61">
        <f t="shared" si="50"/>
        <v>2795.2783020460047</v>
      </c>
      <c r="BS65" s="61">
        <f t="shared" si="51"/>
        <v>2795.2783020460047</v>
      </c>
      <c r="BT65" s="61">
        <f t="shared" si="52"/>
        <v>2795.2783020460047</v>
      </c>
      <c r="BU65" s="61">
        <f t="shared" si="53"/>
        <v>2310.3891729247143</v>
      </c>
      <c r="BV65" s="61">
        <f t="shared" si="54"/>
        <v>2310.3891729247143</v>
      </c>
      <c r="BW65" s="61">
        <f t="shared" si="37"/>
        <v>1667.5500451534369</v>
      </c>
      <c r="BX65" s="61"/>
      <c r="BY65" s="61">
        <f>($C$6+$D$6+$E$6)*Table53[[#This Row],[Locality''s Allocation Percentage ]]</f>
        <v>88553.207454976204</v>
      </c>
      <c r="BZ65" s="61">
        <f>$L$6*Table53[[#This Row],[Locality''s Allocation Percentage ]]</f>
        <v>32043.198082922128</v>
      </c>
      <c r="CA65" s="61">
        <f t="shared" si="4"/>
        <v>8010.7995207305321</v>
      </c>
      <c r="CB65" s="76">
        <f>($C$7+$D$7+$E$7)*Table53[[#This Row],[Locality''s Allocation Percentage ]]</f>
        <v>31935.730137487342</v>
      </c>
      <c r="CC65" s="76">
        <f>$L$7*Table53[[#This Row],[Locality''s Allocation Percentage ]]</f>
        <v>37091.650280406961</v>
      </c>
      <c r="CD65" s="76">
        <f t="shared" si="5"/>
        <v>9272.9125701017401</v>
      </c>
    </row>
    <row r="66" spans="2:82" s="19" customFormat="1" ht="18" customHeight="1" x14ac:dyDescent="0.25">
      <c r="B66" s="136" t="s">
        <v>68</v>
      </c>
      <c r="C66" s="137">
        <v>27959684.856304102</v>
      </c>
      <c r="D66" s="35">
        <f>SUM(C34:C36)</f>
        <v>66522630.381601229</v>
      </c>
      <c r="E66" s="35">
        <f>D35*0.55</f>
        <v>39793700.831994385</v>
      </c>
      <c r="G66" s="53">
        <v>66613080.399999999</v>
      </c>
      <c r="H66" s="35">
        <f>G66-D66</f>
        <v>90450.0183987692</v>
      </c>
      <c r="P66" s="36" t="s">
        <v>266</v>
      </c>
      <c r="Q66" s="37">
        <v>3.5600356003560002E-3</v>
      </c>
      <c r="S66" s="22" t="s">
        <v>131</v>
      </c>
      <c r="T66" s="61">
        <f>($C$5+$D$5+$E$5+$F$5+$G$5+$H$5+$I$5+$J$5+$K$5)*Table53[[#This Row],[Locality''s Allocation Percentage ]]</f>
        <v>14476.205459068469</v>
      </c>
      <c r="U66" s="61">
        <f>($C$6+$D$6+$E$6+$F$6+$G$6+$H$6+$I$6+$J$6+$K$6)*Table53[[#This Row],[Locality''s Allocation Percentage ]]</f>
        <v>91642.272831312584</v>
      </c>
      <c r="V66" s="61">
        <f>($C$7+$D$7+$E$7+$F$7+$G$7+$H$7+$I$7+$J$7+$K$7)*Table53[[#This Row],[Locality''s Allocation Percentage ]]</f>
        <v>113018.37181054869</v>
      </c>
      <c r="W66" s="61">
        <f>($C$8+$D$8+$E$8+$F$8+$G$8+$H$8+$I$8+$J$8+$K$8)*Table53[[#This Row],[Locality''s Allocation Percentage ]]</f>
        <v>43342.29538914904</v>
      </c>
      <c r="X66" s="61">
        <f>($C$9+$D$9+$E$9+$F$9+$G$9+$H$9+$I$9+$J$9+$K$9)*Table53[[#This Row],[Locality''s Allocation Percentage ]]</f>
        <v>46574.097330993092</v>
      </c>
      <c r="Y66" s="61">
        <f>($C$10+$D$10+$E$10+$F$10+$G$10+$H$10+$I$10+$J$10+$K$10)*Table53[[#This Row],[Locality''s Allocation Percentage ]]</f>
        <v>49497.152840821647</v>
      </c>
      <c r="Z66" s="61">
        <f>($C$11+$D$11+$E$11+$F$11+$G$11+$H$11+$I$11+$J$11+$K$11)*Table53[[#This Row],[Locality''s Allocation Percentage ]]</f>
        <v>37710.025717923156</v>
      </c>
      <c r="AA66" s="61">
        <f>($C$12+$D$12+$E$12+$F$12+$G$12+$H$12+$I$12+$J$12+$K$12)*Table53[[#This Row],[Locality''s Allocation Percentage ]]</f>
        <v>52850.87574044551</v>
      </c>
      <c r="AB66" s="61">
        <f>($C$13+$D$13+$E$13+$F$13+$G$13+$H$13+$I$13+$J$13+$K$13)*Table53[[#This Row],[Locality''s Allocation Percentage ]]</f>
        <v>53091.343816391454</v>
      </c>
      <c r="AC66" s="61">
        <f>($C$14+$D$14+$E$14+$F$14+$G$14+$H$14+$I$14+$J$14+$K$14)*Table53[[#This Row],[Locality''s Allocation Percentage ]]</f>
        <v>49709.049342037702</v>
      </c>
      <c r="AD66" s="61">
        <f>($C$15+$D$15+$E$15+$F$15+$G$15+$H$15+$I$15+$J$15+$K$15)*Table53[[#This Row],[Locality''s Allocation Percentage ]]</f>
        <v>46130.302152182274</v>
      </c>
      <c r="AE66" s="61">
        <f>($C$16+$D$16+$E$16+$F$16+$G$16+$H$16+$I$16+$J$16+$K$16)*Table53[[#This Row],[Locality''s Allocation Percentage ]]</f>
        <v>42408.741217275543</v>
      </c>
      <c r="AF66" s="61">
        <f>($C$17+$D$17+$E$17+$F$17+$G$17+$H$17+$I$17+$J$17+$K$17)*Table53[[#This Row],[Locality''s Allocation Percentage ]]</f>
        <v>32364.067685842052</v>
      </c>
      <c r="AG66" s="61">
        <f>($C$18+$D$18+$E$18+$F$18+$G$18+$H$18+$I$18+$J$18+$K$18)*Table53[[#This Row],[Locality''s Allocation Percentage ]]</f>
        <v>32364.067685842052</v>
      </c>
      <c r="AH66" s="61">
        <f>($C$19+$D$19+$E$19+$F$19+$G$19+$H$19+$I$19+$J$19+$K$19)*Table53[[#This Row],[Locality''s Allocation Percentage ]]</f>
        <v>32364.067685842052</v>
      </c>
      <c r="AI66" s="61">
        <f>($C$20+$D$20+$E$20+$F$20+$G$20+$H$20+$I$20+$J$20+$K$20)*Table53[[#This Row],[Locality''s Allocation Percentage ]]</f>
        <v>26889.8436911112</v>
      </c>
      <c r="AJ66" s="61">
        <f>($C$21+$D$21+$E$21+$F$21+$G$21+$H$21+$I$21+$J$21+$K$21)*Table53[[#This Row],[Locality''s Allocation Percentage ]]</f>
        <v>26889.8436911112</v>
      </c>
      <c r="AK66" s="61">
        <f>($C$22+$D$22+$E$22+$F$22+$G$22+$H$22+$I$22+$J$22+$K$22)*Table53[[#This Row],[Locality''s Allocation Percentage ]]</f>
        <v>18826.04067889927</v>
      </c>
      <c r="AL66" s="61"/>
      <c r="AM66" s="61"/>
      <c r="AN66" s="61">
        <f>$L$6*Table53[[#This Row],[Locality''s Allocation Percentage ]]</f>
        <v>33160.98406255895</v>
      </c>
      <c r="AO66" s="61">
        <f>$L$7*Table53[[#This Row],[Locality''s Allocation Percentage ]]</f>
        <v>38385.545057630465</v>
      </c>
      <c r="AP66" s="61">
        <f>$L$8*Table53[[#This Row],[Locality''s Allocation Percentage ]]</f>
        <v>14947.875660832166</v>
      </c>
      <c r="AQ66" s="61">
        <f>$L$9*Table53[[#This Row],[Locality''s Allocation Percentage ]]</f>
        <v>16400.179150640095</v>
      </c>
      <c r="AR66" s="61">
        <f>$L$10*Table53[[#This Row],[Locality''s Allocation Percentage ]]</f>
        <v>17471.966170910564</v>
      </c>
      <c r="AS66" s="61">
        <f>$L$11*Table53[[#This Row],[Locality''s Allocation Percentage ]]</f>
        <v>13150.019559181115</v>
      </c>
      <c r="AT66" s="61">
        <f>$L$12*Table53[[#This Row],[Locality''s Allocation Percentage ]]</f>
        <v>18701.664567439315</v>
      </c>
      <c r="AU66" s="61">
        <f>$L$13*Table53[[#This Row],[Locality''s Allocation Percentage ]]</f>
        <v>18813.908397016177</v>
      </c>
      <c r="AV66" s="61">
        <f>$L$14*Table53[[#This Row],[Locality''s Allocation Percentage ]]</f>
        <v>17497.296968378589</v>
      </c>
      <c r="AW66" s="61">
        <f>$L$15*Table53[[#This Row],[Locality''s Allocation Percentage ]]</f>
        <v>16185.471702819972</v>
      </c>
      <c r="AX66" s="61">
        <f>$L$16*Table53[[#This Row],[Locality''s Allocation Percentage ]]</f>
        <v>14820.899360020836</v>
      </c>
      <c r="AY66" s="61">
        <f>$L$17*Table53[[#This Row],[Locality''s Allocation Percentage ]]</f>
        <v>11571.152041027648</v>
      </c>
      <c r="AZ66" s="61">
        <f>$L$18*Table53[[#This Row],[Locality''s Allocation Percentage ]]</f>
        <v>11571.152041027648</v>
      </c>
      <c r="BA66" s="61">
        <f>$L$19*Table53[[#This Row],[Locality''s Allocation Percentage ]]</f>
        <v>11571.152041027648</v>
      </c>
      <c r="BB66" s="61">
        <f>$L$20*Table53[[#This Row],[Locality''s Allocation Percentage ]]</f>
        <v>9563.9365762930029</v>
      </c>
      <c r="BC66" s="61">
        <f>$L$21*Table53[[#This Row],[Locality''s Allocation Percentage ]]</f>
        <v>9563.9365762930029</v>
      </c>
      <c r="BD66" s="61">
        <f>$L$22*Table53[[#This Row],[Locality''s Allocation Percentage ]]</f>
        <v>6902.881582263065</v>
      </c>
      <c r="BE66" s="61"/>
      <c r="BF66" s="61">
        <f t="shared" si="3"/>
        <v>0</v>
      </c>
      <c r="BG66" s="61">
        <f t="shared" si="3"/>
        <v>8290.2460156397374</v>
      </c>
      <c r="BH66" s="61">
        <f t="shared" si="40"/>
        <v>9596.3862644076162</v>
      </c>
      <c r="BI66" s="61">
        <f t="shared" si="41"/>
        <v>3736.9689152080414</v>
      </c>
      <c r="BJ66" s="61">
        <f t="shared" si="42"/>
        <v>4100.0447876600238</v>
      </c>
      <c r="BK66" s="61">
        <f t="shared" si="43"/>
        <v>4367.991542727641</v>
      </c>
      <c r="BL66" s="61">
        <f t="shared" si="44"/>
        <v>3287.5048897952788</v>
      </c>
      <c r="BM66" s="61">
        <f t="shared" si="45"/>
        <v>4675.4161418598287</v>
      </c>
      <c r="BN66" s="61">
        <f t="shared" si="46"/>
        <v>4703.4770992540443</v>
      </c>
      <c r="BO66" s="61">
        <f t="shared" si="47"/>
        <v>4374.3242420946472</v>
      </c>
      <c r="BP66" s="61">
        <f t="shared" si="48"/>
        <v>4046.367925704993</v>
      </c>
      <c r="BQ66" s="61">
        <f t="shared" si="49"/>
        <v>3705.224840005209</v>
      </c>
      <c r="BR66" s="61">
        <f t="shared" si="50"/>
        <v>2892.788010256912</v>
      </c>
      <c r="BS66" s="61">
        <f t="shared" si="51"/>
        <v>2892.788010256912</v>
      </c>
      <c r="BT66" s="61">
        <f t="shared" si="52"/>
        <v>2892.788010256912</v>
      </c>
      <c r="BU66" s="61">
        <f t="shared" si="53"/>
        <v>2390.9841440732507</v>
      </c>
      <c r="BV66" s="61">
        <f t="shared" si="54"/>
        <v>2390.9841440732507</v>
      </c>
      <c r="BW66" s="61">
        <f t="shared" si="37"/>
        <v>1725.7203955657662</v>
      </c>
      <c r="BX66" s="61"/>
      <c r="BY66" s="61">
        <f>($C$6+$D$6+$E$6)*Table53[[#This Row],[Locality''s Allocation Percentage ]]</f>
        <v>91642.272831312584</v>
      </c>
      <c r="BZ66" s="61">
        <f>$L$6*Table53[[#This Row],[Locality''s Allocation Percentage ]]</f>
        <v>33160.98406255895</v>
      </c>
      <c r="CA66" s="61">
        <f t="shared" si="4"/>
        <v>8290.2460156397374</v>
      </c>
      <c r="CB66" s="76">
        <f>($C$7+$D$7+$E$7)*Table53[[#This Row],[Locality''s Allocation Percentage ]]</f>
        <v>33049.767235306666</v>
      </c>
      <c r="CC66" s="76">
        <f>$L$7*Table53[[#This Row],[Locality''s Allocation Percentage ]]</f>
        <v>38385.545057630465</v>
      </c>
      <c r="CD66" s="76">
        <f t="shared" si="5"/>
        <v>9596.3862644076162</v>
      </c>
    </row>
    <row r="67" spans="2:82" s="19" customFormat="1" ht="18" customHeight="1" x14ac:dyDescent="0.25">
      <c r="B67" s="136" t="s">
        <v>70</v>
      </c>
      <c r="C67" s="137">
        <v>27959684.856304102</v>
      </c>
      <c r="D67" s="19">
        <v>2779933.96</v>
      </c>
      <c r="L67" s="35">
        <f>SUM(E6,L65)</f>
        <v>2277834.9619999998</v>
      </c>
      <c r="P67" s="36" t="s">
        <v>267</v>
      </c>
      <c r="Q67" s="37">
        <v>6.1200612006120101E-3</v>
      </c>
      <c r="S67" s="22" t="s">
        <v>132</v>
      </c>
      <c r="T67" s="61">
        <f>($C$5+$D$5+$E$5+$F$5+$G$5+$H$5+$I$5+$J$5+$K$5)*Table53[[#This Row],[Locality''s Allocation Percentage ]]</f>
        <v>24886.061070084037</v>
      </c>
      <c r="U67" s="61">
        <f>($C$6+$D$6+$E$6+$F$6+$G$6+$H$6+$I$6+$J$6+$K$6)*Table53[[#This Row],[Locality''s Allocation Percentage ]]</f>
        <v>157542.33419315558</v>
      </c>
      <c r="V67" s="61">
        <f>($C$7+$D$7+$E$7+$F$7+$G$7+$H$7+$I$7+$J$7+$K$7)*Table53[[#This Row],[Locality''s Allocation Percentage ]]</f>
        <v>194290.00996644917</v>
      </c>
      <c r="W67" s="61">
        <f>($C$8+$D$8+$E$8+$F$8+$G$8+$H$8+$I$8+$J$8+$K$8)*Table53[[#This Row],[Locality''s Allocation Percentage ]]</f>
        <v>74509.788702694539</v>
      </c>
      <c r="X67" s="61">
        <f>($C$9+$D$9+$E$9+$F$9+$G$9+$H$9+$I$9+$J$9+$K$9)*Table53[[#This Row],[Locality''s Allocation Percentage ]]</f>
        <v>80065.583052156784</v>
      </c>
      <c r="Y67" s="61">
        <f>($C$10+$D$10+$E$10+$F$10+$G$10+$H$10+$I$10+$J$10+$K$10)*Table53[[#This Row],[Locality''s Allocation Percentage ]]</f>
        <v>85090.611063435092</v>
      </c>
      <c r="Z67" s="61">
        <f>($C$11+$D$11+$E$11+$F$11+$G$11+$H$11+$I$11+$J$11+$K$11)*Table53[[#This Row],[Locality''s Allocation Percentage ]]</f>
        <v>64827.347582497212</v>
      </c>
      <c r="AA67" s="61">
        <f>($C$12+$D$12+$E$12+$F$12+$G$12+$H$12+$I$12+$J$12+$K$12)*Table53[[#This Row],[Locality''s Allocation Percentage ]]</f>
        <v>90855.999868406463</v>
      </c>
      <c r="AB67" s="61">
        <f>($C$13+$D$13+$E$13+$F$13+$G$13+$H$13+$I$13+$J$13+$K$13)*Table53[[#This Row],[Locality''s Allocation Percentage ]]</f>
        <v>91269.38880795399</v>
      </c>
      <c r="AC67" s="61">
        <f>($C$14+$D$14+$E$14+$F$14+$G$14+$H$14+$I$14+$J$14+$K$14)*Table53[[#This Row],[Locality''s Allocation Percentage ]]</f>
        <v>85454.882576761578</v>
      </c>
      <c r="AD67" s="61">
        <f>($C$15+$D$15+$E$15+$F$15+$G$15+$H$15+$I$15+$J$15+$K$15)*Table53[[#This Row],[Locality''s Allocation Percentage ]]</f>
        <v>79302.654261616844</v>
      </c>
      <c r="AE67" s="61">
        <f>($C$16+$D$16+$E$16+$F$16+$G$16+$H$16+$I$16+$J$16+$K$16)*Table53[[#This Row],[Locality''s Allocation Percentage ]]</f>
        <v>72904.91467688953</v>
      </c>
      <c r="AF67" s="61">
        <f>($C$17+$D$17+$E$17+$F$17+$G$17+$H$17+$I$17+$J$17+$K$17)*Table53[[#This Row],[Locality''s Allocation Percentage ]]</f>
        <v>55637.105122852154</v>
      </c>
      <c r="AG67" s="61">
        <f>($C$18+$D$18+$E$18+$F$18+$G$18+$H$18+$I$18+$J$18+$K$18)*Table53[[#This Row],[Locality''s Allocation Percentage ]]</f>
        <v>55637.105122852154</v>
      </c>
      <c r="AH67" s="61">
        <f>($C$19+$D$19+$E$19+$F$19+$G$19+$H$19+$I$19+$J$19+$K$19)*Table53[[#This Row],[Locality''s Allocation Percentage ]]</f>
        <v>55637.105122852154</v>
      </c>
      <c r="AI67" s="61">
        <f>($C$20+$D$20+$E$20+$F$20+$G$20+$H$20+$I$20+$J$20+$K$20)*Table53[[#This Row],[Locality''s Allocation Percentage ]]</f>
        <v>46226.360502696858</v>
      </c>
      <c r="AJ67" s="61">
        <f>($C$21+$D$21+$E$21+$F$21+$G$21+$H$21+$I$21+$J$21+$K$21)*Table53[[#This Row],[Locality''s Allocation Percentage ]]</f>
        <v>46226.360502696858</v>
      </c>
      <c r="AK67" s="61">
        <f>($C$22+$D$22+$E$22+$F$22+$G$22+$H$22+$I$22+$J$22+$K$22)*Table53[[#This Row],[Locality''s Allocation Percentage ]]</f>
        <v>32363.867683950481</v>
      </c>
      <c r="AL67" s="61"/>
      <c r="AM67" s="61"/>
      <c r="AN67" s="61">
        <f>$L$6*Table53[[#This Row],[Locality''s Allocation Percentage ]]</f>
        <v>57007.084961477834</v>
      </c>
      <c r="AO67" s="61">
        <f>$L$7*Table53[[#This Row],[Locality''s Allocation Percentage ]]</f>
        <v>65988.633638398547</v>
      </c>
      <c r="AP67" s="61">
        <f>$L$8*Table53[[#This Row],[Locality''s Allocation Percentage ]]</f>
        <v>25696.909843902526</v>
      </c>
      <c r="AQ67" s="61">
        <f>$L$9*Table53[[#This Row],[Locality''s Allocation Percentage ]]</f>
        <v>28193.566405033016</v>
      </c>
      <c r="AR67" s="61">
        <f>$L$10*Table53[[#This Row],[Locality''s Allocation Percentage ]]</f>
        <v>30036.076675835062</v>
      </c>
      <c r="AS67" s="61">
        <f>$L$11*Table53[[#This Row],[Locality''s Allocation Percentage ]]</f>
        <v>22606.213399491167</v>
      </c>
      <c r="AT67" s="61">
        <f>$L$12*Table53[[#This Row],[Locality''s Allocation Percentage ]]</f>
        <v>32150.052570991229</v>
      </c>
      <c r="AU67" s="61">
        <f>$L$13*Table53[[#This Row],[Locality''s Allocation Percentage ]]</f>
        <v>32343.011064533479</v>
      </c>
      <c r="AV67" s="61">
        <f>$L$14*Table53[[#This Row],[Locality''s Allocation Percentage ]]</f>
        <v>30079.622878223916</v>
      </c>
      <c r="AW67" s="61">
        <f>$L$15*Table53[[#This Row],[Locality''s Allocation Percentage ]]</f>
        <v>27824.462590241121</v>
      </c>
      <c r="AX67" s="61">
        <f>$L$16*Table53[[#This Row],[Locality''s Allocation Percentage ]]</f>
        <v>25478.624742507767</v>
      </c>
      <c r="AY67" s="61">
        <f>$L$17*Table53[[#This Row],[Locality''s Allocation Percentage ]]</f>
        <v>19891.980475025091</v>
      </c>
      <c r="AZ67" s="61">
        <f>$L$18*Table53[[#This Row],[Locality''s Allocation Percentage ]]</f>
        <v>19891.980475025091</v>
      </c>
      <c r="BA67" s="61">
        <f>$L$19*Table53[[#This Row],[Locality''s Allocation Percentage ]]</f>
        <v>19891.980475025091</v>
      </c>
      <c r="BB67" s="61">
        <f>$L$20*Table53[[#This Row],[Locality''s Allocation Percentage ]]</f>
        <v>16441.374114301481</v>
      </c>
      <c r="BC67" s="61">
        <f>$L$21*Table53[[#This Row],[Locality''s Allocation Percentage ]]</f>
        <v>16441.374114301481</v>
      </c>
      <c r="BD67" s="61">
        <f>$L$22*Table53[[#This Row],[Locality''s Allocation Percentage ]]</f>
        <v>11866.751484115175</v>
      </c>
      <c r="BE67" s="61"/>
      <c r="BF67" s="61">
        <f t="shared" si="3"/>
        <v>0</v>
      </c>
      <c r="BG67" s="61">
        <f t="shared" si="3"/>
        <v>14251.771240369459</v>
      </c>
      <c r="BH67" s="61">
        <f t="shared" si="40"/>
        <v>16497.158409599637</v>
      </c>
      <c r="BI67" s="61">
        <f t="shared" si="41"/>
        <v>6424.2274609756314</v>
      </c>
      <c r="BJ67" s="61">
        <f t="shared" si="42"/>
        <v>7048.391601258254</v>
      </c>
      <c r="BK67" s="61">
        <f t="shared" si="43"/>
        <v>7509.0191689587655</v>
      </c>
      <c r="BL67" s="61">
        <f t="shared" si="44"/>
        <v>5651.5533498727918</v>
      </c>
      <c r="BM67" s="61">
        <f t="shared" si="45"/>
        <v>8037.5131427478073</v>
      </c>
      <c r="BN67" s="61">
        <f t="shared" si="46"/>
        <v>8085.7527661333697</v>
      </c>
      <c r="BO67" s="61">
        <f t="shared" si="47"/>
        <v>7519.905719555979</v>
      </c>
      <c r="BP67" s="61">
        <f t="shared" si="48"/>
        <v>6956.1156475602802</v>
      </c>
      <c r="BQ67" s="61">
        <f t="shared" si="49"/>
        <v>6369.6561856269418</v>
      </c>
      <c r="BR67" s="61">
        <f t="shared" si="50"/>
        <v>4972.9951187562729</v>
      </c>
      <c r="BS67" s="61">
        <f t="shared" si="51"/>
        <v>4972.9951187562729</v>
      </c>
      <c r="BT67" s="61">
        <f t="shared" si="52"/>
        <v>4972.9951187562729</v>
      </c>
      <c r="BU67" s="61">
        <f t="shared" si="53"/>
        <v>4110.3435285753703</v>
      </c>
      <c r="BV67" s="61">
        <f t="shared" si="54"/>
        <v>4110.3435285753703</v>
      </c>
      <c r="BW67" s="61">
        <f t="shared" si="37"/>
        <v>2966.6878710287938</v>
      </c>
      <c r="BX67" s="61"/>
      <c r="BY67" s="61">
        <f>($C$6+$D$6+$E$6)*Table53[[#This Row],[Locality''s Allocation Percentage ]]</f>
        <v>157542.33419315558</v>
      </c>
      <c r="BZ67" s="61">
        <f>$L$6*Table53[[#This Row],[Locality''s Allocation Percentage ]]</f>
        <v>57007.084961477834</v>
      </c>
      <c r="CA67" s="61">
        <f t="shared" si="4"/>
        <v>14251.771240369459</v>
      </c>
      <c r="CB67" s="76">
        <f>($C$7+$D$7+$E$7)*Table53[[#This Row],[Locality''s Allocation Percentage ]]</f>
        <v>56815.891988785712</v>
      </c>
      <c r="CC67" s="76">
        <f>$L$7*Table53[[#This Row],[Locality''s Allocation Percentage ]]</f>
        <v>65988.633638398547</v>
      </c>
      <c r="CD67" s="76">
        <f t="shared" si="5"/>
        <v>16497.158409599637</v>
      </c>
    </row>
    <row r="68" spans="2:82" s="19" customFormat="1" ht="18" customHeight="1" x14ac:dyDescent="0.25">
      <c r="B68" s="136" t="s">
        <v>72</v>
      </c>
      <c r="C68" s="137">
        <v>27959684.856304102</v>
      </c>
      <c r="D68" s="19">
        <v>1424497.57</v>
      </c>
      <c r="E68" s="19">
        <f>SUM(D67:D68)</f>
        <v>4204431.53</v>
      </c>
      <c r="P68" s="36" t="s">
        <v>268</v>
      </c>
      <c r="Q68" s="37">
        <v>3.0600306003059998E-3</v>
      </c>
      <c r="S68" s="22" t="s">
        <v>134</v>
      </c>
      <c r="T68" s="61">
        <f>($C$5+$D$5+$E$5+$F$5+$G$5+$H$5+$I$5+$J$5+$K$5)*Table53[[#This Row],[Locality''s Allocation Percentage ]]</f>
        <v>12443.030535041999</v>
      </c>
      <c r="U68" s="61">
        <f>($C$6+$D$6+$E$6+$F$6+$G$6+$H$6+$I$6+$J$6+$K$6)*Table53[[#This Row],[Locality''s Allocation Percentage ]]</f>
        <v>78771.167096577658</v>
      </c>
      <c r="V68" s="61">
        <f>($C$7+$D$7+$E$7+$F$7+$G$7+$H$7+$I$7+$J$7+$K$7)*Table53[[#This Row],[Locality''s Allocation Percentage ]]</f>
        <v>97145.004983224426</v>
      </c>
      <c r="W68" s="61">
        <f>($C$8+$D$8+$E$8+$F$8+$G$8+$H$8+$I$8+$J$8+$K$8)*Table53[[#This Row],[Locality''s Allocation Percentage ]]</f>
        <v>37254.894351347204</v>
      </c>
      <c r="X68" s="61">
        <f>($C$9+$D$9+$E$9+$F$9+$G$9+$H$9+$I$9+$J$9+$K$9)*Table53[[#This Row],[Locality''s Allocation Percentage ]]</f>
        <v>40032.791526078327</v>
      </c>
      <c r="Y68" s="61">
        <f>($C$10+$D$10+$E$10+$F$10+$G$10+$H$10+$I$10+$J$10+$K$10)*Table53[[#This Row],[Locality''s Allocation Percentage ]]</f>
        <v>42545.305531717473</v>
      </c>
      <c r="Z68" s="61">
        <f>($C$11+$D$11+$E$11+$F$11+$G$11+$H$11+$I$11+$J$11+$K$11)*Table53[[#This Row],[Locality''s Allocation Percentage ]]</f>
        <v>32413.673791248551</v>
      </c>
      <c r="AA68" s="61">
        <f>($C$12+$D$12+$E$12+$F$12+$G$12+$H$12+$I$12+$J$12+$K$12)*Table53[[#This Row],[Locality''s Allocation Percentage ]]</f>
        <v>45427.999934203159</v>
      </c>
      <c r="AB68" s="61">
        <f>($C$13+$D$13+$E$13+$F$13+$G$13+$H$13+$I$13+$J$13+$K$13)*Table53[[#This Row],[Locality''s Allocation Percentage ]]</f>
        <v>45634.694403976915</v>
      </c>
      <c r="AC68" s="61">
        <f>($C$14+$D$14+$E$14+$F$14+$G$14+$H$14+$I$14+$J$14+$K$14)*Table53[[#This Row],[Locality''s Allocation Percentage ]]</f>
        <v>42727.441288380716</v>
      </c>
      <c r="AD68" s="61">
        <f>($C$15+$D$15+$E$15+$F$15+$G$15+$H$15+$I$15+$J$15+$K$15)*Table53[[#This Row],[Locality''s Allocation Percentage ]]</f>
        <v>39651.327130808357</v>
      </c>
      <c r="AE68" s="61">
        <f>($C$16+$D$16+$E$16+$F$16+$G$16+$H$16+$I$16+$J$16+$K$16)*Table53[[#This Row],[Locality''s Allocation Percentage ]]</f>
        <v>36452.457338444699</v>
      </c>
      <c r="AF68" s="61">
        <f>($C$17+$D$17+$E$17+$F$17+$G$17+$H$17+$I$17+$J$17+$K$17)*Table53[[#This Row],[Locality''s Allocation Percentage ]]</f>
        <v>27818.55256142603</v>
      </c>
      <c r="AG68" s="61">
        <f>($C$18+$D$18+$E$18+$F$18+$G$18+$H$18+$I$18+$J$18+$K$18)*Table53[[#This Row],[Locality''s Allocation Percentage ]]</f>
        <v>27818.55256142603</v>
      </c>
      <c r="AH68" s="61">
        <f>($C$19+$D$19+$E$19+$F$19+$G$19+$H$19+$I$19+$J$19+$K$19)*Table53[[#This Row],[Locality''s Allocation Percentage ]]</f>
        <v>27818.55256142603</v>
      </c>
      <c r="AI68" s="61">
        <f>($C$20+$D$20+$E$20+$F$20+$G$20+$H$20+$I$20+$J$20+$K$20)*Table53[[#This Row],[Locality''s Allocation Percentage ]]</f>
        <v>23113.180251348389</v>
      </c>
      <c r="AJ68" s="61">
        <f>($C$21+$D$21+$E$21+$F$21+$G$21+$H$21+$I$21+$J$21+$K$21)*Table53[[#This Row],[Locality''s Allocation Percentage ]]</f>
        <v>23113.180251348389</v>
      </c>
      <c r="AK68" s="61">
        <f>($C$22+$D$22+$E$22+$F$22+$G$22+$H$22+$I$22+$J$22+$K$22)*Table53[[#This Row],[Locality''s Allocation Percentage ]]</f>
        <v>16181.933841975213</v>
      </c>
      <c r="AL68" s="61"/>
      <c r="AM68" s="61"/>
      <c r="AN68" s="61">
        <f>$L$6*Table53[[#This Row],[Locality''s Allocation Percentage ]]</f>
        <v>28503.542480738866</v>
      </c>
      <c r="AO68" s="61">
        <f>$L$7*Table53[[#This Row],[Locality''s Allocation Percentage ]]</f>
        <v>32994.316819199215</v>
      </c>
      <c r="AP68" s="61">
        <f>$L$8*Table53[[#This Row],[Locality''s Allocation Percentage ]]</f>
        <v>12848.454921951241</v>
      </c>
      <c r="AQ68" s="61">
        <f>$L$9*Table53[[#This Row],[Locality''s Allocation Percentage ]]</f>
        <v>14096.783202516484</v>
      </c>
      <c r="AR68" s="61">
        <f>$L$10*Table53[[#This Row],[Locality''s Allocation Percentage ]]</f>
        <v>15018.038337917505</v>
      </c>
      <c r="AS68" s="61">
        <f>$L$11*Table53[[#This Row],[Locality''s Allocation Percentage ]]</f>
        <v>11303.106699745564</v>
      </c>
      <c r="AT68" s="61">
        <f>$L$12*Table53[[#This Row],[Locality''s Allocation Percentage ]]</f>
        <v>16075.026285495587</v>
      </c>
      <c r="AU68" s="61">
        <f>$L$13*Table53[[#This Row],[Locality''s Allocation Percentage ]]</f>
        <v>16171.505532266712</v>
      </c>
      <c r="AV68" s="61">
        <f>$L$14*Table53[[#This Row],[Locality''s Allocation Percentage ]]</f>
        <v>15039.811439111932</v>
      </c>
      <c r="AW68" s="61">
        <f>$L$15*Table53[[#This Row],[Locality''s Allocation Percentage ]]</f>
        <v>13912.231295120537</v>
      </c>
      <c r="AX68" s="61">
        <f>$L$16*Table53[[#This Row],[Locality''s Allocation Percentage ]]</f>
        <v>12739.312371253862</v>
      </c>
      <c r="AY68" s="61">
        <f>$L$17*Table53[[#This Row],[Locality''s Allocation Percentage ]]</f>
        <v>9945.9902375125275</v>
      </c>
      <c r="AZ68" s="61">
        <f>$L$18*Table53[[#This Row],[Locality''s Allocation Percentage ]]</f>
        <v>9945.9902375125275</v>
      </c>
      <c r="BA68" s="61">
        <f>$L$19*Table53[[#This Row],[Locality''s Allocation Percentage ]]</f>
        <v>9945.9902375125275</v>
      </c>
      <c r="BB68" s="61">
        <f>$L$20*Table53[[#This Row],[Locality''s Allocation Percentage ]]</f>
        <v>8220.6870571507261</v>
      </c>
      <c r="BC68" s="61">
        <f>$L$21*Table53[[#This Row],[Locality''s Allocation Percentage ]]</f>
        <v>8220.6870571507261</v>
      </c>
      <c r="BD68" s="61">
        <f>$L$22*Table53[[#This Row],[Locality''s Allocation Percentage ]]</f>
        <v>5933.3757420575776</v>
      </c>
      <c r="BE68" s="61"/>
      <c r="BF68" s="61">
        <f t="shared" si="3"/>
        <v>0</v>
      </c>
      <c r="BG68" s="61">
        <f t="shared" si="3"/>
        <v>7125.8856201847166</v>
      </c>
      <c r="BH68" s="61">
        <f t="shared" si="40"/>
        <v>8248.5792047998038</v>
      </c>
      <c r="BI68" s="61">
        <f t="shared" si="41"/>
        <v>3212.1137304878102</v>
      </c>
      <c r="BJ68" s="61">
        <f t="shared" si="42"/>
        <v>3524.1958006291211</v>
      </c>
      <c r="BK68" s="61">
        <f t="shared" si="43"/>
        <v>3754.5095844793764</v>
      </c>
      <c r="BL68" s="61">
        <f t="shared" si="44"/>
        <v>2825.7766749363909</v>
      </c>
      <c r="BM68" s="61">
        <f t="shared" si="45"/>
        <v>4018.7565713738968</v>
      </c>
      <c r="BN68" s="61">
        <f t="shared" si="46"/>
        <v>4042.876383066678</v>
      </c>
      <c r="BO68" s="61">
        <f t="shared" si="47"/>
        <v>3759.9528597779831</v>
      </c>
      <c r="BP68" s="61">
        <f t="shared" si="48"/>
        <v>3478.0578237801342</v>
      </c>
      <c r="BQ68" s="61">
        <f t="shared" si="49"/>
        <v>3184.8280928134654</v>
      </c>
      <c r="BR68" s="61">
        <f t="shared" si="50"/>
        <v>2486.4975593781319</v>
      </c>
      <c r="BS68" s="61">
        <f t="shared" si="51"/>
        <v>2486.4975593781319</v>
      </c>
      <c r="BT68" s="61">
        <f t="shared" si="52"/>
        <v>2486.4975593781319</v>
      </c>
      <c r="BU68" s="61">
        <f t="shared" si="53"/>
        <v>2055.1717642876815</v>
      </c>
      <c r="BV68" s="61">
        <f t="shared" si="54"/>
        <v>2055.1717642876815</v>
      </c>
      <c r="BW68" s="61">
        <f t="shared" si="37"/>
        <v>1483.3439355143944</v>
      </c>
      <c r="BX68" s="61"/>
      <c r="BY68" s="61">
        <f>($C$6+$D$6+$E$6)*Table53[[#This Row],[Locality''s Allocation Percentage ]]</f>
        <v>78771.167096577658</v>
      </c>
      <c r="BZ68" s="61">
        <f>$L$6*Table53[[#This Row],[Locality''s Allocation Percentage ]]</f>
        <v>28503.542480738866</v>
      </c>
      <c r="CA68" s="61">
        <f t="shared" si="4"/>
        <v>7125.8856201847166</v>
      </c>
      <c r="CB68" s="76">
        <f>($C$7+$D$7+$E$7)*Table53[[#This Row],[Locality''s Allocation Percentage ]]</f>
        <v>28407.945994392809</v>
      </c>
      <c r="CC68" s="76">
        <f>$L$7*Table53[[#This Row],[Locality''s Allocation Percentage ]]</f>
        <v>32994.316819199215</v>
      </c>
      <c r="CD68" s="76">
        <f t="shared" si="5"/>
        <v>8248.5792047998038</v>
      </c>
    </row>
    <row r="69" spans="2:82" s="19" customFormat="1" ht="18" customHeight="1" x14ac:dyDescent="0.25">
      <c r="B69" s="136" t="s">
        <v>74</v>
      </c>
      <c r="C69" s="137">
        <v>23502936.852050558</v>
      </c>
      <c r="F69" s="19">
        <v>1362713.3</v>
      </c>
      <c r="P69" s="36" t="s">
        <v>269</v>
      </c>
      <c r="Q69" s="37">
        <v>1.7800178001780001E-3</v>
      </c>
      <c r="S69" s="22" t="s">
        <v>135</v>
      </c>
      <c r="T69" s="61">
        <f>($C$5+$D$5+$E$5+$F$5+$G$5+$H$5+$I$5+$J$5+$K$5)*Table53[[#This Row],[Locality''s Allocation Percentage ]]</f>
        <v>7238.1027295342346</v>
      </c>
      <c r="U69" s="61">
        <f>($C$6+$D$6+$E$6+$F$6+$G$6+$H$6+$I$6+$J$6+$K$6)*Table53[[#This Row],[Locality''s Allocation Percentage ]]</f>
        <v>45821.136415656292</v>
      </c>
      <c r="V69" s="61">
        <f>($C$7+$D$7+$E$7+$F$7+$G$7+$H$7+$I$7+$J$7+$K$7)*Table53[[#This Row],[Locality''s Allocation Percentage ]]</f>
        <v>56509.185905274346</v>
      </c>
      <c r="W69" s="61">
        <f>($C$8+$D$8+$E$8+$F$8+$G$8+$H$8+$I$8+$J$8+$K$8)*Table53[[#This Row],[Locality''s Allocation Percentage ]]</f>
        <v>21671.14769457452</v>
      </c>
      <c r="X69" s="61">
        <f>($C$9+$D$9+$E$9+$F$9+$G$9+$H$9+$I$9+$J$9+$K$9)*Table53[[#This Row],[Locality''s Allocation Percentage ]]</f>
        <v>23287.048665496546</v>
      </c>
      <c r="Y69" s="61">
        <f>($C$10+$D$10+$E$10+$F$10+$G$10+$H$10+$I$10+$J$10+$K$10)*Table53[[#This Row],[Locality''s Allocation Percentage ]]</f>
        <v>24748.576420410824</v>
      </c>
      <c r="Z69" s="61">
        <f>($C$11+$D$11+$E$11+$F$11+$G$11+$H$11+$I$11+$J$11+$K$11)*Table53[[#This Row],[Locality''s Allocation Percentage ]]</f>
        <v>18855.012858961578</v>
      </c>
      <c r="AA69" s="61">
        <f>($C$12+$D$12+$E$12+$F$12+$G$12+$H$12+$I$12+$J$12+$K$12)*Table53[[#This Row],[Locality''s Allocation Percentage ]]</f>
        <v>26425.437870222755</v>
      </c>
      <c r="AB69" s="61">
        <f>($C$13+$D$13+$E$13+$F$13+$G$13+$H$13+$I$13+$J$13+$K$13)*Table53[[#This Row],[Locality''s Allocation Percentage ]]</f>
        <v>26545.671908195727</v>
      </c>
      <c r="AC69" s="61">
        <f>($C$14+$D$14+$E$14+$F$14+$G$14+$H$14+$I$14+$J$14+$K$14)*Table53[[#This Row],[Locality''s Allocation Percentage ]]</f>
        <v>24854.524671018851</v>
      </c>
      <c r="AD69" s="61">
        <f>($C$15+$D$15+$E$15+$F$15+$G$15+$H$15+$I$15+$J$15+$K$15)*Table53[[#This Row],[Locality''s Allocation Percentage ]]</f>
        <v>23065.151076091137</v>
      </c>
      <c r="AE69" s="61">
        <f>($C$16+$D$16+$E$16+$F$16+$G$16+$H$16+$I$16+$J$16+$K$16)*Table53[[#This Row],[Locality''s Allocation Percentage ]]</f>
        <v>21204.370608637772</v>
      </c>
      <c r="AF69" s="61">
        <f>($C$17+$D$17+$E$17+$F$17+$G$17+$H$17+$I$17+$J$17+$K$17)*Table53[[#This Row],[Locality''s Allocation Percentage ]]</f>
        <v>16182.033842921026</v>
      </c>
      <c r="AG69" s="61">
        <f>($C$18+$D$18+$E$18+$F$18+$G$18+$H$18+$I$18+$J$18+$K$18)*Table53[[#This Row],[Locality''s Allocation Percentage ]]</f>
        <v>16182.033842921026</v>
      </c>
      <c r="AH69" s="61">
        <f>($C$19+$D$19+$E$19+$F$19+$G$19+$H$19+$I$19+$J$19+$K$19)*Table53[[#This Row],[Locality''s Allocation Percentage ]]</f>
        <v>16182.033842921026</v>
      </c>
      <c r="AI69" s="61">
        <f>($C$20+$D$20+$E$20+$F$20+$G$20+$H$20+$I$20+$J$20+$K$20)*Table53[[#This Row],[Locality''s Allocation Percentage ]]</f>
        <v>13444.9218455556</v>
      </c>
      <c r="AJ69" s="61">
        <f>($C$21+$D$21+$E$21+$F$21+$G$21+$H$21+$I$21+$J$21+$K$21)*Table53[[#This Row],[Locality''s Allocation Percentage ]]</f>
        <v>13444.9218455556</v>
      </c>
      <c r="AK69" s="61">
        <f>($C$22+$D$22+$E$22+$F$22+$G$22+$H$22+$I$22+$J$22+$K$22)*Table53[[#This Row],[Locality''s Allocation Percentage ]]</f>
        <v>9413.0203394496348</v>
      </c>
      <c r="AL69" s="61"/>
      <c r="AM69" s="61"/>
      <c r="AN69" s="61">
        <f>$L$6*Table53[[#This Row],[Locality''s Allocation Percentage ]]</f>
        <v>16580.492031279475</v>
      </c>
      <c r="AO69" s="61">
        <f>$L$7*Table53[[#This Row],[Locality''s Allocation Percentage ]]</f>
        <v>19192.772528815232</v>
      </c>
      <c r="AP69" s="61">
        <f>$L$8*Table53[[#This Row],[Locality''s Allocation Percentage ]]</f>
        <v>7473.9378304160828</v>
      </c>
      <c r="AQ69" s="61">
        <f>$L$9*Table53[[#This Row],[Locality''s Allocation Percentage ]]</f>
        <v>8200.0895753200475</v>
      </c>
      <c r="AR69" s="61">
        <f>$L$10*Table53[[#This Row],[Locality''s Allocation Percentage ]]</f>
        <v>8735.983085455282</v>
      </c>
      <c r="AS69" s="61">
        <f>$L$11*Table53[[#This Row],[Locality''s Allocation Percentage ]]</f>
        <v>6575.0097795905576</v>
      </c>
      <c r="AT69" s="61">
        <f>$L$12*Table53[[#This Row],[Locality''s Allocation Percentage ]]</f>
        <v>9350.8322837196574</v>
      </c>
      <c r="AU69" s="61">
        <f>$L$13*Table53[[#This Row],[Locality''s Allocation Percentage ]]</f>
        <v>9406.9541985080887</v>
      </c>
      <c r="AV69" s="61">
        <f>$L$14*Table53[[#This Row],[Locality''s Allocation Percentage ]]</f>
        <v>8748.6484841892943</v>
      </c>
      <c r="AW69" s="61">
        <f>$L$15*Table53[[#This Row],[Locality''s Allocation Percentage ]]</f>
        <v>8092.735851409986</v>
      </c>
      <c r="AX69" s="61">
        <f>$L$16*Table53[[#This Row],[Locality''s Allocation Percentage ]]</f>
        <v>7410.449680010418</v>
      </c>
      <c r="AY69" s="61">
        <f>$L$17*Table53[[#This Row],[Locality''s Allocation Percentage ]]</f>
        <v>5785.576020513824</v>
      </c>
      <c r="AZ69" s="61">
        <f>$L$18*Table53[[#This Row],[Locality''s Allocation Percentage ]]</f>
        <v>5785.576020513824</v>
      </c>
      <c r="BA69" s="61">
        <f>$L$19*Table53[[#This Row],[Locality''s Allocation Percentage ]]</f>
        <v>5785.576020513824</v>
      </c>
      <c r="BB69" s="61">
        <f>$L$20*Table53[[#This Row],[Locality''s Allocation Percentage ]]</f>
        <v>4781.9682881465014</v>
      </c>
      <c r="BC69" s="61">
        <f>$L$21*Table53[[#This Row],[Locality''s Allocation Percentage ]]</f>
        <v>4781.9682881465014</v>
      </c>
      <c r="BD69" s="61">
        <f>$L$22*Table53[[#This Row],[Locality''s Allocation Percentage ]]</f>
        <v>3451.4407911315325</v>
      </c>
      <c r="BE69" s="61"/>
      <c r="BF69" s="61">
        <f t="shared" ref="BF69:BG132" si="70">AM69*0.25</f>
        <v>0</v>
      </c>
      <c r="BG69" s="61">
        <f t="shared" si="70"/>
        <v>4145.1230078198687</v>
      </c>
      <c r="BH69" s="61">
        <f t="shared" si="40"/>
        <v>4798.1931322038081</v>
      </c>
      <c r="BI69" s="61">
        <f t="shared" si="41"/>
        <v>1868.4844576040207</v>
      </c>
      <c r="BJ69" s="61">
        <f t="shared" si="42"/>
        <v>2050.0223938300119</v>
      </c>
      <c r="BK69" s="61">
        <f t="shared" si="43"/>
        <v>2183.9957713638205</v>
      </c>
      <c r="BL69" s="61">
        <f t="shared" si="44"/>
        <v>1643.7524448976394</v>
      </c>
      <c r="BM69" s="61">
        <f t="shared" si="45"/>
        <v>2337.7080709299144</v>
      </c>
      <c r="BN69" s="61">
        <f t="shared" si="46"/>
        <v>2351.7385496270222</v>
      </c>
      <c r="BO69" s="61">
        <f t="shared" si="47"/>
        <v>2187.1621210473236</v>
      </c>
      <c r="BP69" s="61">
        <f t="shared" si="48"/>
        <v>2023.1839628524965</v>
      </c>
      <c r="BQ69" s="61">
        <f t="shared" si="49"/>
        <v>1852.6124200026045</v>
      </c>
      <c r="BR69" s="61">
        <f t="shared" si="50"/>
        <v>1446.394005128456</v>
      </c>
      <c r="BS69" s="61">
        <f t="shared" si="51"/>
        <v>1446.394005128456</v>
      </c>
      <c r="BT69" s="61">
        <f t="shared" si="52"/>
        <v>1446.394005128456</v>
      </c>
      <c r="BU69" s="61">
        <f t="shared" si="53"/>
        <v>1195.4920720366254</v>
      </c>
      <c r="BV69" s="61">
        <f t="shared" si="54"/>
        <v>1195.4920720366254</v>
      </c>
      <c r="BW69" s="61">
        <f t="shared" si="37"/>
        <v>862.86019778288312</v>
      </c>
      <c r="BX69" s="61"/>
      <c r="BY69" s="61">
        <f>($C$6+$D$6+$E$6)*Table53[[#This Row],[Locality''s Allocation Percentage ]]</f>
        <v>45821.136415656292</v>
      </c>
      <c r="BZ69" s="61">
        <f>$L$6*Table53[[#This Row],[Locality''s Allocation Percentage ]]</f>
        <v>16580.492031279475</v>
      </c>
      <c r="CA69" s="61">
        <f t="shared" ref="CA69:CA132" si="71">BZ69*0.25</f>
        <v>4145.1230078198687</v>
      </c>
      <c r="CB69" s="76">
        <f>($C$7+$D$7+$E$7)*Table53[[#This Row],[Locality''s Allocation Percentage ]]</f>
        <v>16524.883617653333</v>
      </c>
      <c r="CC69" s="76">
        <f>$L$7*Table53[[#This Row],[Locality''s Allocation Percentage ]]</f>
        <v>19192.772528815232</v>
      </c>
      <c r="CD69" s="76">
        <f t="shared" ref="CD69:CD132" si="72">CC69*0.25</f>
        <v>4798.1931322038081</v>
      </c>
    </row>
    <row r="70" spans="2:82" s="19" customFormat="1" ht="18" customHeight="1" x14ac:dyDescent="0.25">
      <c r="B70" s="136" t="s">
        <v>76</v>
      </c>
      <c r="C70" s="137">
        <v>23502936.852050558</v>
      </c>
      <c r="D70" s="35">
        <f>SUM(D66:D68)</f>
        <v>70727061.911601216</v>
      </c>
      <c r="E70" s="53"/>
      <c r="F70" s="35">
        <f>SUM(D35,F69)</f>
        <v>73714896.630898878</v>
      </c>
      <c r="P70" s="36" t="s">
        <v>270</v>
      </c>
      <c r="Q70" s="37">
        <v>7.2000720007200003E-4</v>
      </c>
      <c r="S70" s="22" t="s">
        <v>133</v>
      </c>
      <c r="T70" s="61">
        <f>($C$5+$D$5+$E$5+$F$5+$G$5+$H$5+$I$5+$J$5+$K$5)*Table53[[#This Row],[Locality''s Allocation Percentage ]]</f>
        <v>2927.7718905981174</v>
      </c>
      <c r="U70" s="61">
        <f>($C$6+$D$6+$E$6+$F$6+$G$6+$H$6+$I$6+$J$6+$K$6)*Table53[[#This Row],[Locality''s Allocation Percentage ]]</f>
        <v>18534.392258018273</v>
      </c>
      <c r="V70" s="61">
        <f>($C$7+$D$7+$E$7+$F$7+$G$7+$H$7+$I$7+$J$7+$K$7)*Table53[[#This Row],[Locality''s Allocation Percentage ]]</f>
        <v>22857.648231346924</v>
      </c>
      <c r="W70" s="61">
        <f>($C$8+$D$8+$E$8+$F$8+$G$8+$H$8+$I$8+$J$8+$K$8)*Table53[[#This Row],[Locality''s Allocation Percentage ]]</f>
        <v>8765.8574944346365</v>
      </c>
      <c r="X70" s="61">
        <f>($C$9+$D$9+$E$9+$F$9+$G$9+$H$9+$I$9+$J$9+$K$9)*Table53[[#This Row],[Locality''s Allocation Percentage ]]</f>
        <v>9419.4803590772535</v>
      </c>
      <c r="Y70" s="61">
        <f>($C$10+$D$10+$E$10+$F$10+$G$10+$H$10+$I$10+$J$10+$K$10)*Table53[[#This Row],[Locality''s Allocation Percentage ]]</f>
        <v>10010.660125109995</v>
      </c>
      <c r="Z70" s="61">
        <f>($C$11+$D$11+$E$11+$F$11+$G$11+$H$11+$I$11+$J$11+$K$11)*Table53[[#This Row],[Locality''s Allocation Percentage ]]</f>
        <v>7626.7467744114247</v>
      </c>
      <c r="AA70" s="61">
        <f>($C$12+$D$12+$E$12+$F$12+$G$12+$H$12+$I$12+$J$12+$K$12)*Table53[[#This Row],[Locality''s Allocation Percentage ]]</f>
        <v>10688.941160988979</v>
      </c>
      <c r="AB70" s="61">
        <f>($C$13+$D$13+$E$13+$F$13+$G$13+$H$13+$I$13+$J$13+$K$13)*Table53[[#This Row],[Locality''s Allocation Percentage ]]</f>
        <v>10737.575153876924</v>
      </c>
      <c r="AC70" s="61">
        <f>($C$14+$D$14+$E$14+$F$14+$G$14+$H$14+$I$14+$J$14+$K$14)*Table53[[#This Row],[Locality''s Allocation Percentage ]]</f>
        <v>10053.515597266052</v>
      </c>
      <c r="AD70" s="61">
        <f>($C$15+$D$15+$E$15+$F$15+$G$15+$H$15+$I$15+$J$15+$K$15)*Table53[[#This Row],[Locality''s Allocation Percentage ]]</f>
        <v>9329.7240307784377</v>
      </c>
      <c r="AE70" s="61">
        <f>($C$16+$D$16+$E$16+$F$16+$G$16+$H$16+$I$16+$J$16+$K$16)*Table53[[#This Row],[Locality''s Allocation Percentage ]]</f>
        <v>8577.048785516401</v>
      </c>
      <c r="AF70" s="61">
        <f>($C$17+$D$17+$E$17+$F$17+$G$17+$H$17+$I$17+$J$17+$K$17)*Table53[[#This Row],[Locality''s Allocation Percentage ]]</f>
        <v>6545.5417791590662</v>
      </c>
      <c r="AG70" s="61">
        <f>($C$18+$D$18+$E$18+$F$18+$G$18+$H$18+$I$18+$J$18+$K$18)*Table53[[#This Row],[Locality''s Allocation Percentage ]]</f>
        <v>6545.5417791590662</v>
      </c>
      <c r="AH70" s="61">
        <f>($C$19+$D$19+$E$19+$F$19+$G$19+$H$19+$I$19+$J$19+$K$19)*Table53[[#This Row],[Locality''s Allocation Percentage ]]</f>
        <v>6545.5417791590662</v>
      </c>
      <c r="AI70" s="61">
        <f>($C$20+$D$20+$E$20+$F$20+$G$20+$H$20+$I$20+$J$20+$K$20)*Table53[[#This Row],[Locality''s Allocation Percentage ]]</f>
        <v>5438.3953532584446</v>
      </c>
      <c r="AJ70" s="61">
        <f>($C$21+$D$21+$E$21+$F$21+$G$21+$H$21+$I$21+$J$21+$K$21)*Table53[[#This Row],[Locality''s Allocation Percentage ]]</f>
        <v>5438.3953532584446</v>
      </c>
      <c r="AK70" s="61">
        <f>($C$22+$D$22+$E$22+$F$22+$G$22+$H$22+$I$22+$J$22+$K$22)*Table53[[#This Row],[Locality''s Allocation Percentage ]]</f>
        <v>3807.5138451706389</v>
      </c>
      <c r="AL70" s="61"/>
      <c r="AM70" s="61"/>
      <c r="AN70" s="61">
        <f>$L$6*Table53[[#This Row],[Locality''s Allocation Percentage ]]</f>
        <v>6706.7158778209105</v>
      </c>
      <c r="AO70" s="61">
        <f>$L$7*Table53[[#This Row],[Locality''s Allocation Percentage ]]</f>
        <v>7763.3686633409925</v>
      </c>
      <c r="AP70" s="61">
        <f>$L$8*Table53[[#This Row],[Locality''s Allocation Percentage ]]</f>
        <v>3023.1658639885277</v>
      </c>
      <c r="AQ70" s="61">
        <f>$L$9*Table53[[#This Row],[Locality''s Allocation Percentage ]]</f>
        <v>3316.8901652979966</v>
      </c>
      <c r="AR70" s="61">
        <f>$L$10*Table53[[#This Row],[Locality''s Allocation Percentage ]]</f>
        <v>3533.6560795100017</v>
      </c>
      <c r="AS70" s="61">
        <f>$L$11*Table53[[#This Row],[Locality''s Allocation Percentage ]]</f>
        <v>2659.5545175871916</v>
      </c>
      <c r="AT70" s="61">
        <f>$L$12*Table53[[#This Row],[Locality''s Allocation Percentage ]]</f>
        <v>3782.3591259989621</v>
      </c>
      <c r="AU70" s="61">
        <f>$L$13*Table53[[#This Row],[Locality''s Allocation Percentage ]]</f>
        <v>3805.0601252392266</v>
      </c>
      <c r="AV70" s="61">
        <f>$L$14*Table53[[#This Row],[Locality''s Allocation Percentage ]]</f>
        <v>3538.7791621439846</v>
      </c>
      <c r="AW70" s="61">
        <f>$L$15*Table53[[#This Row],[Locality''s Allocation Percentage ]]</f>
        <v>3273.4661870871855</v>
      </c>
      <c r="AX70" s="61">
        <f>$L$16*Table53[[#This Row],[Locality''s Allocation Percentage ]]</f>
        <v>2997.4852638244383</v>
      </c>
      <c r="AY70" s="61">
        <f>$L$17*Table53[[#This Row],[Locality''s Allocation Percentage ]]</f>
        <v>2340.2329970617716</v>
      </c>
      <c r="AZ70" s="61">
        <f>$L$18*Table53[[#This Row],[Locality''s Allocation Percentage ]]</f>
        <v>2340.2329970617716</v>
      </c>
      <c r="BA70" s="61">
        <f>$L$19*Table53[[#This Row],[Locality''s Allocation Percentage ]]</f>
        <v>2340.2329970617716</v>
      </c>
      <c r="BB70" s="61">
        <f>$L$20*Table53[[#This Row],[Locality''s Allocation Percentage ]]</f>
        <v>1934.2793075648772</v>
      </c>
      <c r="BC70" s="61">
        <f>$L$21*Table53[[#This Row],[Locality''s Allocation Percentage ]]</f>
        <v>1934.2793075648772</v>
      </c>
      <c r="BD70" s="61">
        <f>$L$22*Table53[[#This Row],[Locality''s Allocation Percentage ]]</f>
        <v>1396.0884098959009</v>
      </c>
      <c r="BE70" s="61"/>
      <c r="BF70" s="61">
        <f t="shared" si="70"/>
        <v>0</v>
      </c>
      <c r="BG70" s="61">
        <f t="shared" si="70"/>
        <v>1676.6789694552276</v>
      </c>
      <c r="BH70" s="61">
        <f t="shared" si="40"/>
        <v>1940.8421658352481</v>
      </c>
      <c r="BI70" s="61">
        <f t="shared" si="41"/>
        <v>755.79146599713192</v>
      </c>
      <c r="BJ70" s="61">
        <f t="shared" si="42"/>
        <v>829.22254132449916</v>
      </c>
      <c r="BK70" s="61">
        <f t="shared" si="43"/>
        <v>883.41401987750044</v>
      </c>
      <c r="BL70" s="61">
        <f t="shared" si="44"/>
        <v>664.88862939679791</v>
      </c>
      <c r="BM70" s="61">
        <f t="shared" si="45"/>
        <v>945.58978149974052</v>
      </c>
      <c r="BN70" s="61">
        <f t="shared" si="46"/>
        <v>951.26503130980666</v>
      </c>
      <c r="BO70" s="61">
        <f t="shared" si="47"/>
        <v>884.69479053599616</v>
      </c>
      <c r="BP70" s="61">
        <f t="shared" si="48"/>
        <v>818.36654677179638</v>
      </c>
      <c r="BQ70" s="61">
        <f t="shared" si="49"/>
        <v>749.37131595610958</v>
      </c>
      <c r="BR70" s="61">
        <f t="shared" si="50"/>
        <v>585.0582492654429</v>
      </c>
      <c r="BS70" s="61">
        <f t="shared" si="51"/>
        <v>585.0582492654429</v>
      </c>
      <c r="BT70" s="61">
        <f t="shared" si="52"/>
        <v>585.0582492654429</v>
      </c>
      <c r="BU70" s="61">
        <f t="shared" si="53"/>
        <v>483.56982689121929</v>
      </c>
      <c r="BV70" s="61">
        <f t="shared" si="54"/>
        <v>483.56982689121929</v>
      </c>
      <c r="BW70" s="61">
        <f t="shared" si="37"/>
        <v>349.02210247397522</v>
      </c>
      <c r="BX70" s="61"/>
      <c r="BY70" s="61">
        <f>($C$6+$D$6+$E$6)*Table53[[#This Row],[Locality''s Allocation Percentage ]]</f>
        <v>18534.392258018273</v>
      </c>
      <c r="BZ70" s="61">
        <f>$L$6*Table53[[#This Row],[Locality''s Allocation Percentage ]]</f>
        <v>6706.7158778209105</v>
      </c>
      <c r="CA70" s="61">
        <f t="shared" si="71"/>
        <v>1676.6789694552276</v>
      </c>
      <c r="CB70" s="76">
        <f>($C$7+$D$7+$E$7)*Table53[[#This Row],[Locality''s Allocation Percentage ]]</f>
        <v>6684.2225869159556</v>
      </c>
      <c r="CC70" s="76">
        <f>$L$7*Table53[[#This Row],[Locality''s Allocation Percentage ]]</f>
        <v>7763.3686633409925</v>
      </c>
      <c r="CD70" s="76">
        <f t="shared" si="72"/>
        <v>1940.8421658352481</v>
      </c>
    </row>
    <row r="71" spans="2:82" s="19" customFormat="1" ht="18" customHeight="1" x14ac:dyDescent="0.25">
      <c r="B71" s="136" t="s">
        <v>78</v>
      </c>
      <c r="C71" s="137">
        <v>23502936.852050558</v>
      </c>
      <c r="F71" s="35">
        <v>73629143</v>
      </c>
      <c r="P71" s="36" t="s">
        <v>271</v>
      </c>
      <c r="Q71" s="37">
        <v>1.350013500135E-3</v>
      </c>
      <c r="S71" s="22" t="s">
        <v>136</v>
      </c>
      <c r="T71" s="61">
        <f>($C$5+$D$5+$E$5+$F$5+$G$5+$H$5+$I$5+$J$5+$K$5)*Table53[[#This Row],[Locality''s Allocation Percentage ]]</f>
        <v>5489.5722948714701</v>
      </c>
      <c r="U71" s="61">
        <f>($C$6+$D$6+$E$6+$F$6+$G$6+$H$6+$I$6+$J$6+$K$6)*Table53[[#This Row],[Locality''s Allocation Percentage ]]</f>
        <v>34751.985483784265</v>
      </c>
      <c r="V71" s="61">
        <f>($C$7+$D$7+$E$7+$F$7+$G$7+$H$7+$I$7+$J$7+$K$7)*Table53[[#This Row],[Locality''s Allocation Percentage ]]</f>
        <v>42858.090433775484</v>
      </c>
      <c r="W71" s="61">
        <f>($C$8+$D$8+$E$8+$F$8+$G$8+$H$8+$I$8+$J$8+$K$8)*Table53[[#This Row],[Locality''s Allocation Percentage ]]</f>
        <v>16435.982802064944</v>
      </c>
      <c r="X71" s="61">
        <f>($C$9+$D$9+$E$9+$F$9+$G$9+$H$9+$I$9+$J$9+$K$9)*Table53[[#This Row],[Locality''s Allocation Percentage ]]</f>
        <v>17661.525673269851</v>
      </c>
      <c r="Y71" s="61">
        <f>($C$10+$D$10+$E$10+$F$10+$G$10+$H$10+$I$10+$J$10+$K$10)*Table53[[#This Row],[Locality''s Allocation Percentage ]]</f>
        <v>18769.987734581242</v>
      </c>
      <c r="Z71" s="61">
        <f>($C$11+$D$11+$E$11+$F$11+$G$11+$H$11+$I$11+$J$11+$K$11)*Table53[[#This Row],[Locality''s Allocation Percentage ]]</f>
        <v>14300.150202021419</v>
      </c>
      <c r="AA71" s="61">
        <f>($C$12+$D$12+$E$12+$F$12+$G$12+$H$12+$I$12+$J$12+$K$12)*Table53[[#This Row],[Locality''s Allocation Percentage ]]</f>
        <v>20041.764676854335</v>
      </c>
      <c r="AB71" s="61">
        <f>($C$13+$D$13+$E$13+$F$13+$G$13+$H$13+$I$13+$J$13+$K$13)*Table53[[#This Row],[Locality''s Allocation Percentage ]]</f>
        <v>20132.95341351923</v>
      </c>
      <c r="AC71" s="61">
        <f>($C$14+$D$14+$E$14+$F$14+$G$14+$H$14+$I$14+$J$14+$K$14)*Table53[[#This Row],[Locality''s Allocation Percentage ]]</f>
        <v>18850.341744873847</v>
      </c>
      <c r="AD71" s="61">
        <f>($C$15+$D$15+$E$15+$F$15+$G$15+$H$15+$I$15+$J$15+$K$15)*Table53[[#This Row],[Locality''s Allocation Percentage ]]</f>
        <v>17493.232557709569</v>
      </c>
      <c r="AE71" s="61">
        <f>($C$16+$D$16+$E$16+$F$16+$G$16+$H$16+$I$16+$J$16+$K$16)*Table53[[#This Row],[Locality''s Allocation Percentage ]]</f>
        <v>16081.966472843253</v>
      </c>
      <c r="AF71" s="61">
        <f>($C$17+$D$17+$E$17+$F$17+$G$17+$H$17+$I$17+$J$17+$K$17)*Table53[[#This Row],[Locality''s Allocation Percentage ]]</f>
        <v>12272.890835923248</v>
      </c>
      <c r="AG71" s="61">
        <f>($C$18+$D$18+$E$18+$F$18+$G$18+$H$18+$I$18+$J$18+$K$18)*Table53[[#This Row],[Locality''s Allocation Percentage ]]</f>
        <v>12272.890835923248</v>
      </c>
      <c r="AH71" s="61">
        <f>($C$19+$D$19+$E$19+$F$19+$G$19+$H$19+$I$19+$J$19+$K$19)*Table53[[#This Row],[Locality''s Allocation Percentage ]]</f>
        <v>12272.890835923248</v>
      </c>
      <c r="AI71" s="61">
        <f>($C$20+$D$20+$E$20+$F$20+$G$20+$H$20+$I$20+$J$20+$K$20)*Table53[[#This Row],[Locality''s Allocation Percentage ]]</f>
        <v>10196.991287359584</v>
      </c>
      <c r="AJ71" s="61">
        <f>($C$21+$D$21+$E$21+$F$21+$G$21+$H$21+$I$21+$J$21+$K$21)*Table53[[#This Row],[Locality''s Allocation Percentage ]]</f>
        <v>10196.991287359584</v>
      </c>
      <c r="AK71" s="61">
        <f>($C$22+$D$22+$E$22+$F$22+$G$22+$H$22+$I$22+$J$22+$K$22)*Table53[[#This Row],[Locality''s Allocation Percentage ]]</f>
        <v>7139.0884596949472</v>
      </c>
      <c r="AL71" s="61"/>
      <c r="AM71" s="61"/>
      <c r="AN71" s="61">
        <f>$L$6*Table53[[#This Row],[Locality''s Allocation Percentage ]]</f>
        <v>12575.092270914207</v>
      </c>
      <c r="AO71" s="61">
        <f>$L$7*Table53[[#This Row],[Locality''s Allocation Percentage ]]</f>
        <v>14556.31624376436</v>
      </c>
      <c r="AP71" s="61">
        <f>$L$8*Table53[[#This Row],[Locality''s Allocation Percentage ]]</f>
        <v>5668.4359949784894</v>
      </c>
      <c r="AQ71" s="61">
        <f>$L$9*Table53[[#This Row],[Locality''s Allocation Percentage ]]</f>
        <v>6219.1690599337435</v>
      </c>
      <c r="AR71" s="61">
        <f>$L$10*Table53[[#This Row],[Locality''s Allocation Percentage ]]</f>
        <v>6625.6051490812524</v>
      </c>
      <c r="AS71" s="61">
        <f>$L$11*Table53[[#This Row],[Locality''s Allocation Percentage ]]</f>
        <v>4986.6647204759847</v>
      </c>
      <c r="AT71" s="61">
        <f>$L$12*Table53[[#This Row],[Locality''s Allocation Percentage ]]</f>
        <v>7091.9233612480539</v>
      </c>
      <c r="AU71" s="61">
        <f>$L$13*Table53[[#This Row],[Locality''s Allocation Percentage ]]</f>
        <v>7134.4877348235495</v>
      </c>
      <c r="AV71" s="61">
        <f>$L$14*Table53[[#This Row],[Locality''s Allocation Percentage ]]</f>
        <v>6635.2109290199705</v>
      </c>
      <c r="AW71" s="61">
        <f>$L$15*Table53[[#This Row],[Locality''s Allocation Percentage ]]</f>
        <v>6137.7491007884719</v>
      </c>
      <c r="AX71" s="61">
        <f>$L$16*Table53[[#This Row],[Locality''s Allocation Percentage ]]</f>
        <v>5620.2848696708224</v>
      </c>
      <c r="AY71" s="61">
        <f>$L$17*Table53[[#This Row],[Locality''s Allocation Percentage ]]</f>
        <v>4387.9368694908217</v>
      </c>
      <c r="AZ71" s="61">
        <f>$L$18*Table53[[#This Row],[Locality''s Allocation Percentage ]]</f>
        <v>4387.9368694908217</v>
      </c>
      <c r="BA71" s="61">
        <f>$L$19*Table53[[#This Row],[Locality''s Allocation Percentage ]]</f>
        <v>4387.9368694908217</v>
      </c>
      <c r="BB71" s="61">
        <f>$L$20*Table53[[#This Row],[Locality''s Allocation Percentage ]]</f>
        <v>3626.7737016841443</v>
      </c>
      <c r="BC71" s="61">
        <f>$L$21*Table53[[#This Row],[Locality''s Allocation Percentage ]]</f>
        <v>3626.7737016841443</v>
      </c>
      <c r="BD71" s="61">
        <f>$L$22*Table53[[#This Row],[Locality''s Allocation Percentage ]]</f>
        <v>2617.6657685548139</v>
      </c>
      <c r="BE71" s="61"/>
      <c r="BF71" s="61">
        <f t="shared" si="70"/>
        <v>0</v>
      </c>
      <c r="BG71" s="61">
        <f t="shared" si="70"/>
        <v>3143.7730677285517</v>
      </c>
      <c r="BH71" s="61">
        <f t="shared" si="40"/>
        <v>3639.0790609410901</v>
      </c>
      <c r="BI71" s="61">
        <f t="shared" si="41"/>
        <v>1417.1089987446223</v>
      </c>
      <c r="BJ71" s="61">
        <f t="shared" si="42"/>
        <v>1554.7922649834359</v>
      </c>
      <c r="BK71" s="61">
        <f t="shared" si="43"/>
        <v>1656.4012872703131</v>
      </c>
      <c r="BL71" s="61">
        <f t="shared" si="44"/>
        <v>1246.6661801189962</v>
      </c>
      <c r="BM71" s="61">
        <f t="shared" si="45"/>
        <v>1772.9808403120135</v>
      </c>
      <c r="BN71" s="61">
        <f t="shared" si="46"/>
        <v>1783.6219337058874</v>
      </c>
      <c r="BO71" s="61">
        <f t="shared" si="47"/>
        <v>1658.8027322549926</v>
      </c>
      <c r="BP71" s="61">
        <f t="shared" si="48"/>
        <v>1534.437275197118</v>
      </c>
      <c r="BQ71" s="61">
        <f t="shared" si="49"/>
        <v>1405.0712174177056</v>
      </c>
      <c r="BR71" s="61">
        <f t="shared" si="50"/>
        <v>1096.9842173727054</v>
      </c>
      <c r="BS71" s="61">
        <f t="shared" si="51"/>
        <v>1096.9842173727054</v>
      </c>
      <c r="BT71" s="61">
        <f t="shared" si="52"/>
        <v>1096.9842173727054</v>
      </c>
      <c r="BU71" s="61">
        <f t="shared" si="53"/>
        <v>906.69342542103607</v>
      </c>
      <c r="BV71" s="61">
        <f t="shared" si="54"/>
        <v>906.69342542103607</v>
      </c>
      <c r="BW71" s="61">
        <f t="shared" si="37"/>
        <v>654.41644213870347</v>
      </c>
      <c r="BX71" s="61"/>
      <c r="BY71" s="61">
        <f>($C$6+$D$6+$E$6)*Table53[[#This Row],[Locality''s Allocation Percentage ]]</f>
        <v>34751.985483784265</v>
      </c>
      <c r="BZ71" s="61">
        <f>$L$6*Table53[[#This Row],[Locality''s Allocation Percentage ]]</f>
        <v>12575.092270914207</v>
      </c>
      <c r="CA71" s="61">
        <f t="shared" si="71"/>
        <v>3143.7730677285517</v>
      </c>
      <c r="CB71" s="76">
        <f>($C$7+$D$7+$E$7)*Table53[[#This Row],[Locality''s Allocation Percentage ]]</f>
        <v>12532.917350467416</v>
      </c>
      <c r="CC71" s="76">
        <f>$L$7*Table53[[#This Row],[Locality''s Allocation Percentage ]]</f>
        <v>14556.31624376436</v>
      </c>
      <c r="CD71" s="76">
        <f t="shared" si="72"/>
        <v>3639.0790609410901</v>
      </c>
    </row>
    <row r="72" spans="2:82" s="19" customFormat="1" ht="18" customHeight="1" x14ac:dyDescent="0.25">
      <c r="B72" s="136" t="s">
        <v>80</v>
      </c>
      <c r="C72" s="137">
        <v>23502936.852050558</v>
      </c>
      <c r="E72" s="35"/>
      <c r="F72" s="35">
        <f>F70-F71</f>
        <v>85753.630898877978</v>
      </c>
      <c r="P72" s="36" t="s">
        <v>272</v>
      </c>
      <c r="Q72" s="37">
        <v>5.5600556005560098E-3</v>
      </c>
      <c r="S72" s="22" t="s">
        <v>137</v>
      </c>
      <c r="T72" s="61">
        <f>($C$5+$D$5+$E$5+$F$5+$G$5+$H$5+$I$5+$J$5+$K$5)*Table53[[#This Row],[Locality''s Allocation Percentage ]]</f>
        <v>22608.905155174391</v>
      </c>
      <c r="U72" s="61">
        <f>($C$6+$D$6+$E$6+$F$6+$G$6+$H$6+$I$6+$J$6+$K$6)*Table53[[#This Row],[Locality''s Allocation Percentage ]]</f>
        <v>143126.6957702525</v>
      </c>
      <c r="V72" s="61">
        <f>($C$7+$D$7+$E$7+$F$7+$G$7+$H$7+$I$7+$J$7+$K$7)*Table53[[#This Row],[Locality''s Allocation Percentage ]]</f>
        <v>176511.839119846</v>
      </c>
      <c r="W72" s="61">
        <f>($C$8+$D$8+$E$8+$F$8+$G$8+$H$8+$I$8+$J$8+$K$8)*Table53[[#This Row],[Locality''s Allocation Percentage ]]</f>
        <v>67691.899540356477</v>
      </c>
      <c r="X72" s="61">
        <f>($C$9+$D$9+$E$9+$F$9+$G$9+$H$9+$I$9+$J$9+$K$9)*Table53[[#This Row],[Locality''s Allocation Percentage ]]</f>
        <v>72739.32055065225</v>
      </c>
      <c r="Y72" s="61">
        <f>($C$10+$D$10+$E$10+$F$10+$G$10+$H$10+$I$10+$J$10+$K$10)*Table53[[#This Row],[Locality''s Allocation Percentage ]]</f>
        <v>77304.542077238424</v>
      </c>
      <c r="Z72" s="61">
        <f>($C$11+$D$11+$E$11+$F$11+$G$11+$H$11+$I$11+$J$11+$K$11)*Table53[[#This Row],[Locality''s Allocation Percentage ]]</f>
        <v>58895.433424621653</v>
      </c>
      <c r="AA72" s="61">
        <f>($C$12+$D$12+$E$12+$F$12+$G$12+$H$12+$I$12+$J$12+$K$12)*Table53[[#This Row],[Locality''s Allocation Percentage ]]</f>
        <v>82542.378965415031</v>
      </c>
      <c r="AB72" s="61">
        <f>($C$13+$D$13+$E$13+$F$13+$G$13+$H$13+$I$13+$J$13+$K$13)*Table53[[#This Row],[Locality''s Allocation Percentage ]]</f>
        <v>82917.941466049713</v>
      </c>
      <c r="AC72" s="61">
        <f>($C$14+$D$14+$E$14+$F$14+$G$14+$H$14+$I$14+$J$14+$K$14)*Table53[[#This Row],[Locality''s Allocation Percentage ]]</f>
        <v>77635.481556665763</v>
      </c>
      <c r="AD72" s="61">
        <f>($C$15+$D$15+$E$15+$F$15+$G$15+$H$15+$I$15+$J$15+$K$15)*Table53[[#This Row],[Locality''s Allocation Percentage ]]</f>
        <v>72046.202237678051</v>
      </c>
      <c r="AE72" s="61">
        <f>($C$16+$D$16+$E$16+$F$16+$G$16+$H$16+$I$16+$J$16+$K$16)*Table53[[#This Row],[Locality''s Allocation Percentage ]]</f>
        <v>66233.87673259899</v>
      </c>
      <c r="AF72" s="61">
        <f>($C$17+$D$17+$E$17+$F$17+$G$17+$H$17+$I$17+$J$17+$K$17)*Table53[[#This Row],[Locality''s Allocation Percentage ]]</f>
        <v>50546.128183506211</v>
      </c>
      <c r="AG72" s="61">
        <f>($C$18+$D$18+$E$18+$F$18+$G$18+$H$18+$I$18+$J$18+$K$18)*Table53[[#This Row],[Locality''s Allocation Percentage ]]</f>
        <v>50546.128183506211</v>
      </c>
      <c r="AH72" s="61">
        <f>($C$19+$D$19+$E$19+$F$19+$G$19+$H$19+$I$19+$J$19+$K$19)*Table53[[#This Row],[Locality''s Allocation Percentage ]]</f>
        <v>50546.128183506211</v>
      </c>
      <c r="AI72" s="61">
        <f>($C$20+$D$20+$E$20+$F$20+$G$20+$H$20+$I$20+$J$20+$K$20)*Table53[[#This Row],[Locality''s Allocation Percentage ]]</f>
        <v>41996.497450162504</v>
      </c>
      <c r="AJ72" s="61">
        <f>($C$21+$D$21+$E$21+$F$21+$G$21+$H$21+$I$21+$J$21+$K$21)*Table53[[#This Row],[Locality''s Allocation Percentage ]]</f>
        <v>41996.497450162504</v>
      </c>
      <c r="AK72" s="61">
        <f>($C$22+$D$22+$E$22+$F$22+$G$22+$H$22+$I$22+$J$22+$K$22)*Table53[[#This Row],[Locality''s Allocation Percentage ]]</f>
        <v>29402.468026595539</v>
      </c>
      <c r="AL72" s="61"/>
      <c r="AM72" s="61"/>
      <c r="AN72" s="61">
        <f>$L$6*Table53[[#This Row],[Locality''s Allocation Percentage ]]</f>
        <v>51790.750389839341</v>
      </c>
      <c r="AO72" s="61">
        <f>$L$7*Table53[[#This Row],[Locality''s Allocation Percentage ]]</f>
        <v>59950.458011355549</v>
      </c>
      <c r="AP72" s="61">
        <f>$L$8*Table53[[#This Row],[Locality''s Allocation Percentage ]]</f>
        <v>23345.558616355895</v>
      </c>
      <c r="AQ72" s="61">
        <f>$L$9*Table53[[#This Row],[Locality''s Allocation Percentage ]]</f>
        <v>25613.762943134574</v>
      </c>
      <c r="AR72" s="61">
        <f>$L$10*Table53[[#This Row],[Locality''s Allocation Percentage ]]</f>
        <v>27287.677502882838</v>
      </c>
      <c r="AS72" s="61">
        <f>$L$11*Table53[[#This Row],[Locality''s Allocation Percentage ]]</f>
        <v>20537.670996923349</v>
      </c>
      <c r="AT72" s="61">
        <f>$L$12*Table53[[#This Row],[Locality''s Allocation Percentage ]]</f>
        <v>29208.217695214258</v>
      </c>
      <c r="AU72" s="61">
        <f>$L$13*Table53[[#This Row],[Locality''s Allocation Percentage ]]</f>
        <v>29383.519856014078</v>
      </c>
      <c r="AV72" s="61">
        <f>$L$14*Table53[[#This Row],[Locality''s Allocation Percentage ]]</f>
        <v>27327.239085445261</v>
      </c>
      <c r="AW72" s="61">
        <f>$L$15*Table53[[#This Row],[Locality''s Allocation Percentage ]]</f>
        <v>25278.433333617751</v>
      </c>
      <c r="AX72" s="61">
        <f>$L$16*Table53[[#This Row],[Locality''s Allocation Percentage ]]</f>
        <v>23147.24731508876</v>
      </c>
      <c r="AY72" s="61">
        <f>$L$17*Table53[[#This Row],[Locality''s Allocation Percentage ]]</f>
        <v>18071.799255088157</v>
      </c>
      <c r="AZ72" s="61">
        <f>$L$18*Table53[[#This Row],[Locality''s Allocation Percentage ]]</f>
        <v>18071.799255088157</v>
      </c>
      <c r="BA72" s="61">
        <f>$L$19*Table53[[#This Row],[Locality''s Allocation Percentage ]]</f>
        <v>18071.799255088157</v>
      </c>
      <c r="BB72" s="61">
        <f>$L$20*Table53[[#This Row],[Locality''s Allocation Percentage ]]</f>
        <v>14936.934652862132</v>
      </c>
      <c r="BC72" s="61">
        <f>$L$21*Table53[[#This Row],[Locality''s Allocation Percentage ]]</f>
        <v>14936.934652862132</v>
      </c>
      <c r="BD72" s="61">
        <f>$L$22*Table53[[#This Row],[Locality''s Allocation Percentage ]]</f>
        <v>10780.90494308503</v>
      </c>
      <c r="BE72" s="61"/>
      <c r="BF72" s="61">
        <f t="shared" si="70"/>
        <v>0</v>
      </c>
      <c r="BG72" s="61">
        <f t="shared" si="70"/>
        <v>12947.687597459835</v>
      </c>
      <c r="BH72" s="61">
        <f t="shared" si="40"/>
        <v>14987.614502838887</v>
      </c>
      <c r="BI72" s="61">
        <f t="shared" si="41"/>
        <v>5836.3896540889737</v>
      </c>
      <c r="BJ72" s="61">
        <f t="shared" si="42"/>
        <v>6403.4407357836435</v>
      </c>
      <c r="BK72" s="61">
        <f t="shared" si="43"/>
        <v>6821.9193757207095</v>
      </c>
      <c r="BL72" s="61">
        <f t="shared" si="44"/>
        <v>5134.4177492308372</v>
      </c>
      <c r="BM72" s="61">
        <f t="shared" si="45"/>
        <v>7302.0544238035645</v>
      </c>
      <c r="BN72" s="61">
        <f t="shared" si="46"/>
        <v>7345.8799640035195</v>
      </c>
      <c r="BO72" s="61">
        <f t="shared" si="47"/>
        <v>6831.8097713613151</v>
      </c>
      <c r="BP72" s="61">
        <f t="shared" si="48"/>
        <v>6319.6083334044379</v>
      </c>
      <c r="BQ72" s="61">
        <f t="shared" si="49"/>
        <v>5786.81182877219</v>
      </c>
      <c r="BR72" s="61">
        <f t="shared" si="50"/>
        <v>4517.9498137720393</v>
      </c>
      <c r="BS72" s="61">
        <f t="shared" si="51"/>
        <v>4517.9498137720393</v>
      </c>
      <c r="BT72" s="61">
        <f t="shared" si="52"/>
        <v>4517.9498137720393</v>
      </c>
      <c r="BU72" s="61">
        <f t="shared" si="53"/>
        <v>3734.2336632155329</v>
      </c>
      <c r="BV72" s="61">
        <f t="shared" si="54"/>
        <v>3734.2336632155329</v>
      </c>
      <c r="BW72" s="61">
        <f t="shared" si="37"/>
        <v>2695.2262357712575</v>
      </c>
      <c r="BX72" s="61"/>
      <c r="BY72" s="61">
        <f>($C$6+$D$6+$E$6)*Table53[[#This Row],[Locality''s Allocation Percentage ]]</f>
        <v>143126.6957702525</v>
      </c>
      <c r="BZ72" s="61">
        <f>$L$6*Table53[[#This Row],[Locality''s Allocation Percentage ]]</f>
        <v>51790.750389839341</v>
      </c>
      <c r="CA72" s="61">
        <f t="shared" si="71"/>
        <v>12947.687597459835</v>
      </c>
      <c r="CB72" s="76">
        <f>($C$7+$D$7+$E$7)*Table53[[#This Row],[Locality''s Allocation Percentage ]]</f>
        <v>51617.052198962192</v>
      </c>
      <c r="CC72" s="76">
        <f>$L$7*Table53[[#This Row],[Locality''s Allocation Percentage ]]</f>
        <v>59950.458011355549</v>
      </c>
      <c r="CD72" s="76">
        <f t="shared" si="72"/>
        <v>14987.614502838887</v>
      </c>
    </row>
    <row r="73" spans="2:82" s="19" customFormat="1" ht="18" customHeight="1" x14ac:dyDescent="0.25">
      <c r="B73" s="136" t="s">
        <v>82</v>
      </c>
      <c r="C73" s="137">
        <v>23502936.852050558</v>
      </c>
      <c r="P73" s="36" t="s">
        <v>138</v>
      </c>
      <c r="Q73" s="37">
        <v>9.3000930009300002E-4</v>
      </c>
      <c r="S73" s="22" t="s">
        <v>138</v>
      </c>
      <c r="T73" s="61">
        <f>($C$5+$D$5+$E$5+$F$5+$G$5+$H$5+$I$5+$J$5+$K$5)*Table53[[#This Row],[Locality''s Allocation Percentage ]]</f>
        <v>3781.7053586892348</v>
      </c>
      <c r="U73" s="61">
        <f>($C$6+$D$6+$E$6+$F$6+$G$6+$H$6+$I$6+$J$6+$K$6)*Table53[[#This Row],[Locality''s Allocation Percentage ]]</f>
        <v>23940.25666660694</v>
      </c>
      <c r="V73" s="61">
        <f>($C$7+$D$7+$E$7+$F$7+$G$7+$H$7+$I$7+$J$7+$K$7)*Table53[[#This Row],[Locality''s Allocation Percentage ]]</f>
        <v>29524.462298823113</v>
      </c>
      <c r="W73" s="61">
        <f>($C$8+$D$8+$E$8+$F$8+$G$8+$H$8+$I$8+$J$8+$K$8)*Table53[[#This Row],[Locality''s Allocation Percentage ]]</f>
        <v>11322.565930311406</v>
      </c>
      <c r="X73" s="61">
        <f>($C$9+$D$9+$E$9+$F$9+$G$9+$H$9+$I$9+$J$9+$K$9)*Table53[[#This Row],[Locality''s Allocation Percentage ]]</f>
        <v>12166.828797141454</v>
      </c>
      <c r="Y73" s="61">
        <f>($C$10+$D$10+$E$10+$F$10+$G$10+$H$10+$I$10+$J$10+$K$10)*Table53[[#This Row],[Locality''s Allocation Percentage ]]</f>
        <v>12930.435994933743</v>
      </c>
      <c r="Z73" s="61">
        <f>($C$11+$D$11+$E$11+$F$11+$G$11+$H$11+$I$11+$J$11+$K$11)*Table53[[#This Row],[Locality''s Allocation Percentage ]]</f>
        <v>9851.2145836147556</v>
      </c>
      <c r="AA73" s="61">
        <f>($C$12+$D$12+$E$12+$F$12+$G$12+$H$12+$I$12+$J$12+$K$12)*Table53[[#This Row],[Locality''s Allocation Percentage ]]</f>
        <v>13806.548999610764</v>
      </c>
      <c r="AB73" s="61">
        <f>($C$13+$D$13+$E$13+$F$13+$G$13+$H$13+$I$13+$J$13+$K$13)*Table53[[#This Row],[Locality''s Allocation Percentage ]]</f>
        <v>13869.367907091026</v>
      </c>
      <c r="AC73" s="61">
        <f>($C$14+$D$14+$E$14+$F$14+$G$14+$H$14+$I$14+$J$14+$K$14)*Table53[[#This Row],[Locality''s Allocation Percentage ]]</f>
        <v>12985.790979801985</v>
      </c>
      <c r="AD73" s="61">
        <f>($C$15+$D$15+$E$15+$F$15+$G$15+$H$15+$I$15+$J$15+$K$15)*Table53[[#This Row],[Locality''s Allocation Percentage ]]</f>
        <v>12050.893539755481</v>
      </c>
      <c r="AE73" s="61">
        <f>($C$16+$D$16+$E$16+$F$16+$G$16+$H$16+$I$16+$J$16+$K$16)*Table53[[#This Row],[Locality''s Allocation Percentage ]]</f>
        <v>11078.688014625352</v>
      </c>
      <c r="AF73" s="61">
        <f>($C$17+$D$17+$E$17+$F$17+$G$17+$H$17+$I$17+$J$17+$K$17)*Table53[[#This Row],[Locality''s Allocation Percentage ]]</f>
        <v>8454.6581314137929</v>
      </c>
      <c r="AG73" s="61">
        <f>($C$18+$D$18+$E$18+$F$18+$G$18+$H$18+$I$18+$J$18+$K$18)*Table53[[#This Row],[Locality''s Allocation Percentage ]]</f>
        <v>8454.6581314137929</v>
      </c>
      <c r="AH73" s="61">
        <f>($C$19+$D$19+$E$19+$F$19+$G$19+$H$19+$I$19+$J$19+$K$19)*Table53[[#This Row],[Locality''s Allocation Percentage ]]</f>
        <v>8454.6581314137929</v>
      </c>
      <c r="AI73" s="61">
        <f>($C$20+$D$20+$E$20+$F$20+$G$20+$H$20+$I$20+$J$20+$K$20)*Table53[[#This Row],[Locality''s Allocation Percentage ]]</f>
        <v>7024.5939979588247</v>
      </c>
      <c r="AJ73" s="61">
        <f>($C$21+$D$21+$E$21+$F$21+$G$21+$H$21+$I$21+$J$21+$K$21)*Table53[[#This Row],[Locality''s Allocation Percentage ]]</f>
        <v>7024.5939979588247</v>
      </c>
      <c r="AK73" s="61">
        <f>($C$22+$D$22+$E$22+$F$22+$G$22+$H$22+$I$22+$J$22+$K$22)*Table53[[#This Row],[Locality''s Allocation Percentage ]]</f>
        <v>4918.0387166787414</v>
      </c>
      <c r="AL73" s="61"/>
      <c r="AM73" s="61"/>
      <c r="AN73" s="61">
        <f>$L$6*Table53[[#This Row],[Locality''s Allocation Percentage ]]</f>
        <v>8662.841342185342</v>
      </c>
      <c r="AO73" s="61">
        <f>$L$7*Table53[[#This Row],[Locality''s Allocation Percentage ]]</f>
        <v>10027.684523482116</v>
      </c>
      <c r="AP73" s="61">
        <f>$L$8*Table53[[#This Row],[Locality''s Allocation Percentage ]]</f>
        <v>3904.9225743185148</v>
      </c>
      <c r="AQ73" s="61">
        <f>$L$9*Table53[[#This Row],[Locality''s Allocation Percentage ]]</f>
        <v>4284.316463509912</v>
      </c>
      <c r="AR73" s="61">
        <f>$L$10*Table53[[#This Row],[Locality''s Allocation Percentage ]]</f>
        <v>4564.3057693670853</v>
      </c>
      <c r="AS73" s="61">
        <f>$L$11*Table53[[#This Row],[Locality''s Allocation Percentage ]]</f>
        <v>3435.2579185501227</v>
      </c>
      <c r="AT73" s="61">
        <f>$L$12*Table53[[#This Row],[Locality''s Allocation Percentage ]]</f>
        <v>4885.5472044153257</v>
      </c>
      <c r="AU73" s="61">
        <f>$L$13*Table53[[#This Row],[Locality''s Allocation Percentage ]]</f>
        <v>4914.8693284340006</v>
      </c>
      <c r="AV73" s="61">
        <f>$L$14*Table53[[#This Row],[Locality''s Allocation Percentage ]]</f>
        <v>4570.9230844359799</v>
      </c>
      <c r="AW73" s="61">
        <f>$L$15*Table53[[#This Row],[Locality''s Allocation Percentage ]]</f>
        <v>4228.2271583209476</v>
      </c>
      <c r="AX73" s="61">
        <f>$L$16*Table53[[#This Row],[Locality''s Allocation Percentage ]]</f>
        <v>3871.7517991065665</v>
      </c>
      <c r="AY73" s="61">
        <f>$L$17*Table53[[#This Row],[Locality''s Allocation Percentage ]]</f>
        <v>3022.8009545381215</v>
      </c>
      <c r="AZ73" s="61">
        <f>$L$18*Table53[[#This Row],[Locality''s Allocation Percentage ]]</f>
        <v>3022.8009545381215</v>
      </c>
      <c r="BA73" s="61">
        <f>$L$19*Table53[[#This Row],[Locality''s Allocation Percentage ]]</f>
        <v>3022.8009545381215</v>
      </c>
      <c r="BB73" s="61">
        <f>$L$20*Table53[[#This Row],[Locality''s Allocation Percentage ]]</f>
        <v>2498.444105604633</v>
      </c>
      <c r="BC73" s="61">
        <f>$L$21*Table53[[#This Row],[Locality''s Allocation Percentage ]]</f>
        <v>2498.444105604633</v>
      </c>
      <c r="BD73" s="61">
        <f>$L$22*Table53[[#This Row],[Locality''s Allocation Percentage ]]</f>
        <v>1803.2808627822051</v>
      </c>
      <c r="BE73" s="61"/>
      <c r="BF73" s="61">
        <f t="shared" si="70"/>
        <v>0</v>
      </c>
      <c r="BG73" s="61">
        <f t="shared" si="70"/>
        <v>2165.7103355463355</v>
      </c>
      <c r="BH73" s="61">
        <f t="shared" si="40"/>
        <v>2506.9211308705289</v>
      </c>
      <c r="BI73" s="61">
        <f t="shared" si="41"/>
        <v>976.23064357962869</v>
      </c>
      <c r="BJ73" s="61">
        <f t="shared" si="42"/>
        <v>1071.079115877478</v>
      </c>
      <c r="BK73" s="61">
        <f t="shared" si="43"/>
        <v>1141.0764423417713</v>
      </c>
      <c r="BL73" s="61">
        <f t="shared" si="44"/>
        <v>858.81447963753067</v>
      </c>
      <c r="BM73" s="61">
        <f t="shared" si="45"/>
        <v>1221.3868011038314</v>
      </c>
      <c r="BN73" s="61">
        <f t="shared" si="46"/>
        <v>1228.7173321085002</v>
      </c>
      <c r="BO73" s="61">
        <f t="shared" si="47"/>
        <v>1142.730771108995</v>
      </c>
      <c r="BP73" s="61">
        <f t="shared" si="48"/>
        <v>1057.0567895802369</v>
      </c>
      <c r="BQ73" s="61">
        <f t="shared" si="49"/>
        <v>967.93794977664163</v>
      </c>
      <c r="BR73" s="61">
        <f t="shared" si="50"/>
        <v>755.70023863453036</v>
      </c>
      <c r="BS73" s="61">
        <f t="shared" si="51"/>
        <v>755.70023863453036</v>
      </c>
      <c r="BT73" s="61">
        <f t="shared" si="52"/>
        <v>755.70023863453036</v>
      </c>
      <c r="BU73" s="61">
        <f t="shared" si="53"/>
        <v>624.61102640115826</v>
      </c>
      <c r="BV73" s="61">
        <f t="shared" si="54"/>
        <v>624.61102640115826</v>
      </c>
      <c r="BW73" s="61">
        <f t="shared" si="37"/>
        <v>450.82021569555127</v>
      </c>
      <c r="BX73" s="61"/>
      <c r="BY73" s="61">
        <f>($C$6+$D$6+$E$6)*Table53[[#This Row],[Locality''s Allocation Percentage ]]</f>
        <v>23940.25666660694</v>
      </c>
      <c r="BZ73" s="61">
        <f>$L$6*Table53[[#This Row],[Locality''s Allocation Percentage ]]</f>
        <v>8662.841342185342</v>
      </c>
      <c r="CA73" s="61">
        <f t="shared" si="71"/>
        <v>2165.7103355463355</v>
      </c>
      <c r="CB73" s="76">
        <f>($C$7+$D$7+$E$7)*Table53[[#This Row],[Locality''s Allocation Percentage ]]</f>
        <v>8633.7875080997746</v>
      </c>
      <c r="CC73" s="76">
        <f>$L$7*Table53[[#This Row],[Locality''s Allocation Percentage ]]</f>
        <v>10027.684523482116</v>
      </c>
      <c r="CD73" s="76">
        <f t="shared" si="72"/>
        <v>2506.9211308705289</v>
      </c>
    </row>
    <row r="74" spans="2:82" s="19" customFormat="1" ht="18" customHeight="1" x14ac:dyDescent="0.3">
      <c r="B74" s="136" t="s">
        <v>84</v>
      </c>
      <c r="C74" s="137">
        <v>23502936.852050558</v>
      </c>
      <c r="G74" s="188">
        <v>9678777.4000000004</v>
      </c>
      <c r="H74" s="189">
        <f>G60-G74</f>
        <v>784765.78181818128</v>
      </c>
      <c r="P74" s="36" t="s">
        <v>273</v>
      </c>
      <c r="Q74" s="37">
        <v>2.5670256702567E-2</v>
      </c>
      <c r="S74" s="22" t="s">
        <v>139</v>
      </c>
      <c r="T74" s="61">
        <f>($C$5+$D$5+$E$5+$F$5+$G$5+$H$5+$I$5+$J$5+$K$5)*Table53[[#This Row],[Locality''s Allocation Percentage ]]</f>
        <v>104383.20059951898</v>
      </c>
      <c r="U74" s="61">
        <f>($C$6+$D$6+$E$6+$F$6+$G$6+$H$6+$I$6+$J$6+$K$6)*Table53[[#This Row],[Locality''s Allocation Percentage ]]</f>
        <v>660802.56842129037</v>
      </c>
      <c r="V74" s="61">
        <f>($C$7+$D$7+$E$7+$F$7+$G$7+$H$7+$I$7+$J$7+$K$7)*Table53[[#This Row],[Locality''s Allocation Percentage ]]</f>
        <v>814938.65291482722</v>
      </c>
      <c r="W74" s="61">
        <f>($C$8+$D$8+$E$8+$F$8+$G$8+$H$8+$I$8+$J$8+$K$8)*Table53[[#This Row],[Locality''s Allocation Percentage ]]</f>
        <v>312527.16928074602</v>
      </c>
      <c r="X74" s="61">
        <f>($C$9+$D$9+$E$9+$F$9+$G$9+$H$9+$I$9+$J$9+$K$9)*Table53[[#This Row],[Locality''s Allocation Percentage ]]</f>
        <v>335830.64002432377</v>
      </c>
      <c r="Y74" s="61">
        <f>($C$10+$D$10+$E$10+$F$10+$G$10+$H$10+$I$10+$J$10+$K$10)*Table53[[#This Row],[Locality''s Allocation Percentage ]]</f>
        <v>356907.84084940772</v>
      </c>
      <c r="Z74" s="61">
        <f>($C$11+$D$11+$E$11+$F$11+$G$11+$H$11+$I$11+$J$11+$K$11)*Table53[[#This Row],[Locality''s Allocation Percentage ]]</f>
        <v>271914.70791547396</v>
      </c>
      <c r="AA74" s="61">
        <f>($C$12+$D$12+$E$12+$F$12+$G$12+$H$12+$I$12+$J$12+$K$12)*Table53[[#This Row],[Locality''s Allocation Percentage ]]</f>
        <v>381090.44389248203</v>
      </c>
      <c r="AB74" s="61">
        <f>($C$13+$D$13+$E$13+$F$13+$G$13+$H$13+$I$13+$J$13+$K$13)*Table53[[#This Row],[Locality''s Allocation Percentage ]]</f>
        <v>382824.38083336194</v>
      </c>
      <c r="AC74" s="61">
        <f>($C$14+$D$14+$E$14+$F$14+$G$14+$H$14+$I$14+$J$14+$K$14)*Table53[[#This Row],[Locality''s Allocation Percentage ]]</f>
        <v>358435.75747474941</v>
      </c>
      <c r="AD74" s="61">
        <f>($C$15+$D$15+$E$15+$F$15+$G$15+$H$15+$I$15+$J$15+$K$15)*Table53[[#This Row],[Locality''s Allocation Percentage ]]</f>
        <v>332630.57759733679</v>
      </c>
      <c r="AE74" s="61">
        <f>($C$16+$D$16+$E$16+$F$16+$G$16+$H$16+$I$16+$J$16+$K$16)*Table53[[#This Row],[Locality''s Allocation Percentage ]]</f>
        <v>305795.61433917499</v>
      </c>
      <c r="AF74" s="61">
        <f>($C$17+$D$17+$E$17+$F$17+$G$17+$H$17+$I$17+$J$17+$K$17)*Table53[[#This Row],[Locality''s Allocation Percentage ]]</f>
        <v>233366.74648751837</v>
      </c>
      <c r="AG74" s="61">
        <f>($C$18+$D$18+$E$18+$F$18+$G$18+$H$18+$I$18+$J$18+$K$18)*Table53[[#This Row],[Locality''s Allocation Percentage ]]</f>
        <v>233366.74648751837</v>
      </c>
      <c r="AH74" s="61">
        <f>($C$19+$D$19+$E$19+$F$19+$G$19+$H$19+$I$19+$J$19+$K$19)*Table53[[#This Row],[Locality''s Allocation Percentage ]]</f>
        <v>233366.74648751837</v>
      </c>
      <c r="AI74" s="61">
        <f>($C$20+$D$20+$E$20+$F$20+$G$20+$H$20+$I$20+$J$20+$K$20)*Table53[[#This Row],[Locality''s Allocation Percentage ]]</f>
        <v>193893.90099742261</v>
      </c>
      <c r="AJ74" s="61">
        <f>($C$21+$D$21+$E$21+$F$21+$G$21+$H$21+$I$21+$J$21+$K$21)*Table53[[#This Row],[Locality''s Allocation Percentage ]]</f>
        <v>193893.90099742261</v>
      </c>
      <c r="AK74" s="61">
        <f>($C$22+$D$22+$E$22+$F$22+$G$22+$H$22+$I$22+$J$22+$K$22)*Table53[[#This Row],[Locality''s Allocation Percentage ]]</f>
        <v>135748.44500768097</v>
      </c>
      <c r="AL74" s="61"/>
      <c r="AM74" s="61"/>
      <c r="AN74" s="61">
        <f>$L$6*Table53[[#This Row],[Locality''s Allocation Percentage ]]</f>
        <v>239113.05081064274</v>
      </c>
      <c r="AO74" s="61">
        <f>$L$7*Table53[[#This Row],[Locality''s Allocation Percentage ]]</f>
        <v>276785.65776106011</v>
      </c>
      <c r="AP74" s="61">
        <f>$L$8*Table53[[#This Row],[Locality''s Allocation Percentage ]]</f>
        <v>107784.26073414653</v>
      </c>
      <c r="AQ74" s="61">
        <f>$L$9*Table53[[#This Row],[Locality''s Allocation Percentage ]]</f>
        <v>118256.34797666606</v>
      </c>
      <c r="AR74" s="61">
        <f>$L$10*Table53[[#This Row],[Locality''s Allocation Percentage ]]</f>
        <v>125984.65494586353</v>
      </c>
      <c r="AS74" s="61">
        <f>$L$11*Table53[[#This Row],[Locality''s Allocation Percentage ]]</f>
        <v>94820.50620342113</v>
      </c>
      <c r="AT74" s="61">
        <f>$L$12*Table53[[#This Row],[Locality''s Allocation Percentage ]]</f>
        <v>134851.60939499078</v>
      </c>
      <c r="AU74" s="61">
        <f>$L$13*Table53[[#This Row],[Locality''s Allocation Percentage ]]</f>
        <v>135660.96307623741</v>
      </c>
      <c r="AV74" s="61">
        <f>$L$14*Table53[[#This Row],[Locality''s Allocation Percentage ]]</f>
        <v>126167.3070725501</v>
      </c>
      <c r="AW74" s="61">
        <f>$L$15*Table53[[#This Row],[Locality''s Allocation Percentage ]]</f>
        <v>116708.16253128895</v>
      </c>
      <c r="AX74" s="61">
        <f>$L$16*Table53[[#This Row],[Locality''s Allocation Percentage ]]</f>
        <v>106868.67600329629</v>
      </c>
      <c r="AY74" s="61">
        <f>$L$17*Table53[[#This Row],[Locality''s Allocation Percentage ]]</f>
        <v>83435.806992466212</v>
      </c>
      <c r="AZ74" s="61">
        <f>$L$18*Table53[[#This Row],[Locality''s Allocation Percentage ]]</f>
        <v>83435.806992466212</v>
      </c>
      <c r="BA74" s="61">
        <f>$L$19*Table53[[#This Row],[Locality''s Allocation Percentage ]]</f>
        <v>83435.806992466212</v>
      </c>
      <c r="BB74" s="61">
        <f>$L$20*Table53[[#This Row],[Locality''s Allocation Percentage ]]</f>
        <v>68962.430312764438</v>
      </c>
      <c r="BC74" s="61">
        <f>$L$21*Table53[[#This Row],[Locality''s Allocation Percentage ]]</f>
        <v>68962.430312764438</v>
      </c>
      <c r="BD74" s="61">
        <f>$L$22*Table53[[#This Row],[Locality''s Allocation Percentage ]]</f>
        <v>49774.429836149684</v>
      </c>
      <c r="BE74" s="61"/>
      <c r="BF74" s="61">
        <f t="shared" si="70"/>
        <v>0</v>
      </c>
      <c r="BG74" s="61">
        <f t="shared" si="70"/>
        <v>59778.262702660686</v>
      </c>
      <c r="BH74" s="61">
        <f t="shared" si="40"/>
        <v>69196.414440265027</v>
      </c>
      <c r="BI74" s="61">
        <f t="shared" si="41"/>
        <v>26946.065183536633</v>
      </c>
      <c r="BJ74" s="61">
        <f t="shared" si="42"/>
        <v>29564.086994166515</v>
      </c>
      <c r="BK74" s="61">
        <f t="shared" si="43"/>
        <v>31496.163736465882</v>
      </c>
      <c r="BL74" s="61">
        <f t="shared" si="44"/>
        <v>23705.126550855282</v>
      </c>
      <c r="BM74" s="61">
        <f t="shared" si="45"/>
        <v>33712.902348747695</v>
      </c>
      <c r="BN74" s="61">
        <f t="shared" si="46"/>
        <v>33915.240769059354</v>
      </c>
      <c r="BO74" s="61">
        <f t="shared" si="47"/>
        <v>31541.826768137526</v>
      </c>
      <c r="BP74" s="61">
        <f t="shared" si="48"/>
        <v>29177.040632822238</v>
      </c>
      <c r="BQ74" s="61">
        <f t="shared" si="49"/>
        <v>26717.169000824073</v>
      </c>
      <c r="BR74" s="61">
        <f t="shared" si="50"/>
        <v>20858.951748116553</v>
      </c>
      <c r="BS74" s="61">
        <f t="shared" si="51"/>
        <v>20858.951748116553</v>
      </c>
      <c r="BT74" s="61">
        <f t="shared" si="52"/>
        <v>20858.951748116553</v>
      </c>
      <c r="BU74" s="61">
        <f t="shared" si="53"/>
        <v>17240.607578191109</v>
      </c>
      <c r="BV74" s="61">
        <f t="shared" si="54"/>
        <v>17240.607578191109</v>
      </c>
      <c r="BW74" s="61">
        <f t="shared" si="37"/>
        <v>12443.607459037421</v>
      </c>
      <c r="BX74" s="61"/>
      <c r="BY74" s="61">
        <f>($C$6+$D$6+$E$6)*Table53[[#This Row],[Locality''s Allocation Percentage ]]</f>
        <v>660802.56842129037</v>
      </c>
      <c r="BZ74" s="61">
        <f>$L$6*Table53[[#This Row],[Locality''s Allocation Percentage ]]</f>
        <v>239113.05081064274</v>
      </c>
      <c r="CA74" s="61">
        <f t="shared" si="71"/>
        <v>59778.262702660686</v>
      </c>
      <c r="CB74" s="76">
        <f>($C$7+$D$7+$E$7)*Table53[[#This Row],[Locality''s Allocation Percentage ]]</f>
        <v>238311.10250851745</v>
      </c>
      <c r="CC74" s="76">
        <f>$L$7*Table53[[#This Row],[Locality''s Allocation Percentage ]]</f>
        <v>276785.65776106011</v>
      </c>
      <c r="CD74" s="76">
        <f t="shared" si="72"/>
        <v>69196.414440265027</v>
      </c>
    </row>
    <row r="75" spans="2:82" s="19" customFormat="1" ht="18" customHeight="1" x14ac:dyDescent="0.25">
      <c r="B75" s="136" t="s">
        <v>86</v>
      </c>
      <c r="C75" s="137">
        <v>23502936.852050558</v>
      </c>
      <c r="P75" s="36" t="s">
        <v>274</v>
      </c>
      <c r="Q75" s="37">
        <v>4.4900449004490004E-3</v>
      </c>
      <c r="S75" s="22" t="s">
        <v>140</v>
      </c>
      <c r="T75" s="61">
        <f>($C$5+$D$5+$E$5+$F$5+$G$5+$H$5+$I$5+$J$5+$K$5)*Table53[[#This Row],[Locality''s Allocation Percentage ]]</f>
        <v>18257.910817757704</v>
      </c>
      <c r="U75" s="61">
        <f>($C$6+$D$6+$E$6+$F$6+$G$6+$H$6+$I$6+$J$6+$K$6)*Table53[[#This Row],[Locality''s Allocation Percentage ]]</f>
        <v>115582.52949791953</v>
      </c>
      <c r="V75" s="61">
        <f>($C$7+$D$7+$E$7+$F$7+$G$7+$H$7+$I$7+$J$7+$K$7)*Table53[[#This Row],[Locality''s Allocation Percentage ]]</f>
        <v>142542.83410937182</v>
      </c>
      <c r="W75" s="61">
        <f>($C$8+$D$8+$E$8+$F$8+$G$8+$H$8+$I$8+$J$8+$K$8)*Table53[[#This Row],[Locality''s Allocation Percentage ]]</f>
        <v>54664.861319460448</v>
      </c>
      <c r="X75" s="61">
        <f>($C$9+$D$9+$E$9+$F$9+$G$9+$H$9+$I$9+$J$9+$K$9)*Table53[[#This Row],[Locality''s Allocation Percentage ]]</f>
        <v>58740.926128134546</v>
      </c>
      <c r="Y75" s="61">
        <f>($C$10+$D$10+$E$10+$F$10+$G$10+$H$10+$I$10+$J$10+$K$10)*Table53[[#This Row],[Locality''s Allocation Percentage ]]</f>
        <v>62427.588835755392</v>
      </c>
      <c r="Z75" s="61">
        <f>($C$11+$D$11+$E$11+$F$11+$G$11+$H$11+$I$11+$J$11+$K$11)*Table53[[#This Row],[Locality''s Allocation Percentage ]]</f>
        <v>47561.24030153791</v>
      </c>
      <c r="AA75" s="61">
        <f>($C$12+$D$12+$E$12+$F$12+$G$12+$H$12+$I$12+$J$12+$K$12)*Table53[[#This Row],[Locality''s Allocation Percentage ]]</f>
        <v>66657.424740056274</v>
      </c>
      <c r="AB75" s="61">
        <f>($C$13+$D$13+$E$13+$F$13+$G$13+$H$13+$I$13+$J$13+$K$13)*Table53[[#This Row],[Locality''s Allocation Percentage ]]</f>
        <v>66960.711723482484</v>
      </c>
      <c r="AC75" s="61">
        <f>($C$14+$D$14+$E$14+$F$14+$G$14+$H$14+$I$14+$J$14+$K$14)*Table53[[#This Row],[Locality''s Allocation Percentage ]]</f>
        <v>62694.840321839692</v>
      </c>
      <c r="AD75" s="61">
        <f>($C$15+$D$15+$E$15+$F$15+$G$15+$H$15+$I$15+$J$15+$K$15)*Table53[[#This Row],[Locality''s Allocation Percentage ]]</f>
        <v>58181.195691937755</v>
      </c>
      <c r="AE75" s="61">
        <f>($C$16+$D$16+$E$16+$F$16+$G$16+$H$16+$I$16+$J$16+$K$16)*Table53[[#This Row],[Locality''s Allocation Percentage ]]</f>
        <v>53487.429231900896</v>
      </c>
      <c r="AF75" s="61">
        <f>($C$17+$D$17+$E$17+$F$17+$G$17+$H$17+$I$17+$J$17+$K$17)*Table53[[#This Row],[Locality''s Allocation Percentage ]]</f>
        <v>40818.725817255843</v>
      </c>
      <c r="AG75" s="61">
        <f>($C$18+$D$18+$E$18+$F$18+$G$18+$H$18+$I$18+$J$18+$K$18)*Table53[[#This Row],[Locality''s Allocation Percentage ]]</f>
        <v>40818.725817255843</v>
      </c>
      <c r="AH75" s="61">
        <f>($C$19+$D$19+$E$19+$F$19+$G$19+$H$19+$I$19+$J$19+$K$19)*Table53[[#This Row],[Locality''s Allocation Percentage ]]</f>
        <v>40818.725817255843</v>
      </c>
      <c r="AI75" s="61">
        <f>($C$20+$D$20+$E$20+$F$20+$G$20+$H$20+$I$20+$J$20+$K$20)*Table53[[#This Row],[Locality''s Allocation Percentage ]]</f>
        <v>33914.437689070022</v>
      </c>
      <c r="AJ75" s="61">
        <f>($C$21+$D$21+$E$21+$F$21+$G$21+$H$21+$I$21+$J$21+$K$21)*Table53[[#This Row],[Locality''s Allocation Percentage ]]</f>
        <v>33914.437689070022</v>
      </c>
      <c r="AK75" s="61">
        <f>($C$22+$D$22+$E$22+$F$22+$G$22+$H$22+$I$22+$J$22+$K$22)*Table53[[#This Row],[Locality''s Allocation Percentage ]]</f>
        <v>23744.079395578014</v>
      </c>
      <c r="AL75" s="61"/>
      <c r="AM75" s="61"/>
      <c r="AN75" s="61">
        <f>$L$6*Table53[[#This Row],[Locality''s Allocation Percentage ]]</f>
        <v>41823.82540474429</v>
      </c>
      <c r="AO75" s="61">
        <f>$L$7*Table53[[#This Row],[Locality''s Allocation Percentage ]]</f>
        <v>48413.22958111258</v>
      </c>
      <c r="AP75" s="61">
        <f>$L$8*Table53[[#This Row],[Locality''s Allocation Percentage ]]</f>
        <v>18852.79823515068</v>
      </c>
      <c r="AQ75" s="61">
        <f>$L$9*Table53[[#This Row],[Locality''s Allocation Percentage ]]</f>
        <v>20684.495614150008</v>
      </c>
      <c r="AR75" s="61">
        <f>$L$10*Table53[[#This Row],[Locality''s Allocation Percentage ]]</f>
        <v>22036.271940277649</v>
      </c>
      <c r="AS75" s="61">
        <f>$L$11*Table53[[#This Row],[Locality''s Allocation Percentage ]]</f>
        <v>16585.277477731237</v>
      </c>
      <c r="AT75" s="61">
        <f>$L$12*Table53[[#This Row],[Locality''s Allocation Percentage ]]</f>
        <v>23587.21177185464</v>
      </c>
      <c r="AU75" s="61">
        <f>$L$13*Table53[[#This Row],[Locality''s Allocation Percentage ]]</f>
        <v>23728.777725450178</v>
      </c>
      <c r="AV75" s="61">
        <f>$L$14*Table53[[#This Row],[Locality''s Allocation Percentage ]]</f>
        <v>22068.220052814569</v>
      </c>
      <c r="AW75" s="61">
        <f>$L$15*Table53[[#This Row],[Locality''s Allocation Percentage ]]</f>
        <v>20413.698861140922</v>
      </c>
      <c r="AX75" s="61">
        <f>$L$16*Table53[[#This Row],[Locality''s Allocation Percentage ]]</f>
        <v>18692.651159127403</v>
      </c>
      <c r="AY75" s="61">
        <f>$L$17*Table53[[#This Row],[Locality''s Allocation Percentage ]]</f>
        <v>14593.952995565771</v>
      </c>
      <c r="AZ75" s="61">
        <f>$L$18*Table53[[#This Row],[Locality''s Allocation Percentage ]]</f>
        <v>14593.952995565771</v>
      </c>
      <c r="BA75" s="61">
        <f>$L$19*Table53[[#This Row],[Locality''s Allocation Percentage ]]</f>
        <v>14593.952995565771</v>
      </c>
      <c r="BB75" s="61">
        <f>$L$20*Table53[[#This Row],[Locality''s Allocation Percentage ]]</f>
        <v>12062.380681897637</v>
      </c>
      <c r="BC75" s="61">
        <f>$L$21*Table53[[#This Row],[Locality''s Allocation Percentage ]]</f>
        <v>12062.380681897637</v>
      </c>
      <c r="BD75" s="61">
        <f>$L$22*Table53[[#This Row],[Locality''s Allocation Percentage ]]</f>
        <v>8706.1624450452709</v>
      </c>
      <c r="BE75" s="61"/>
      <c r="BF75" s="61">
        <f t="shared" si="70"/>
        <v>0</v>
      </c>
      <c r="BG75" s="61">
        <f t="shared" si="70"/>
        <v>10455.956351186072</v>
      </c>
      <c r="BH75" s="61">
        <f t="shared" si="40"/>
        <v>12103.307395278145</v>
      </c>
      <c r="BI75" s="61">
        <f t="shared" si="41"/>
        <v>4713.19955878767</v>
      </c>
      <c r="BJ75" s="61">
        <f t="shared" si="42"/>
        <v>5171.123903537502</v>
      </c>
      <c r="BK75" s="61">
        <f t="shared" si="43"/>
        <v>5509.0679850694123</v>
      </c>
      <c r="BL75" s="61">
        <f t="shared" si="44"/>
        <v>4146.3193694328093</v>
      </c>
      <c r="BM75" s="61">
        <f t="shared" si="45"/>
        <v>5896.8029429636599</v>
      </c>
      <c r="BN75" s="61">
        <f t="shared" si="46"/>
        <v>5932.1944313625445</v>
      </c>
      <c r="BO75" s="61">
        <f t="shared" si="47"/>
        <v>5517.0550132036424</v>
      </c>
      <c r="BP75" s="61">
        <f t="shared" si="48"/>
        <v>5103.4247152852304</v>
      </c>
      <c r="BQ75" s="61">
        <f t="shared" si="49"/>
        <v>4673.1627897818507</v>
      </c>
      <c r="BR75" s="61">
        <f t="shared" si="50"/>
        <v>3648.4882488914427</v>
      </c>
      <c r="BS75" s="61">
        <f t="shared" si="51"/>
        <v>3648.4882488914427</v>
      </c>
      <c r="BT75" s="61">
        <f t="shared" si="52"/>
        <v>3648.4882488914427</v>
      </c>
      <c r="BU75" s="61">
        <f t="shared" si="53"/>
        <v>3015.5951704744093</v>
      </c>
      <c r="BV75" s="61">
        <f t="shared" si="54"/>
        <v>3015.5951704744093</v>
      </c>
      <c r="BW75" s="61">
        <f t="shared" si="37"/>
        <v>2176.5406112613177</v>
      </c>
      <c r="BX75" s="61"/>
      <c r="BY75" s="61">
        <f>($C$6+$D$6+$E$6)*Table53[[#This Row],[Locality''s Allocation Percentage ]]</f>
        <v>115582.52949791953</v>
      </c>
      <c r="BZ75" s="61">
        <f>$L$6*Table53[[#This Row],[Locality''s Allocation Percentage ]]</f>
        <v>41823.82540474429</v>
      </c>
      <c r="CA75" s="61">
        <f t="shared" si="71"/>
        <v>10455.956351186072</v>
      </c>
      <c r="CB75" s="76">
        <f>($C$7+$D$7+$E$7)*Table53[[#This Row],[Locality''s Allocation Percentage ]]</f>
        <v>41683.554743406443</v>
      </c>
      <c r="CC75" s="76">
        <f>$L$7*Table53[[#This Row],[Locality''s Allocation Percentage ]]</f>
        <v>48413.22958111258</v>
      </c>
      <c r="CD75" s="76">
        <f t="shared" si="72"/>
        <v>12103.307395278145</v>
      </c>
    </row>
    <row r="76" spans="2:82" s="19" customFormat="1" ht="18" customHeight="1" x14ac:dyDescent="0.3">
      <c r="B76" s="138" t="s">
        <v>88</v>
      </c>
      <c r="C76" s="139">
        <v>23502936.852050558</v>
      </c>
      <c r="F76" s="188"/>
      <c r="H76" s="189"/>
      <c r="P76" s="36" t="s">
        <v>275</v>
      </c>
      <c r="Q76" s="37">
        <v>8.8000880008800002E-4</v>
      </c>
      <c r="S76" s="22" t="s">
        <v>141</v>
      </c>
      <c r="T76" s="61">
        <f>($C$5+$D$5+$E$5+$F$5+$G$5+$H$5+$I$5+$J$5+$K$5)*Table53[[#This Row],[Locality''s Allocation Percentage ]]</f>
        <v>3578.3878662865877</v>
      </c>
      <c r="U76" s="61">
        <f>($C$6+$D$6+$E$6+$F$6+$G$6+$H$6+$I$6+$J$6+$K$6)*Table53[[#This Row],[Locality''s Allocation Percentage ]]</f>
        <v>22653.146093133448</v>
      </c>
      <c r="V76" s="61">
        <f>($C$7+$D$7+$E$7+$F$7+$G$7+$H$7+$I$7+$J$7+$K$7)*Table53[[#This Row],[Locality''s Allocation Percentage ]]</f>
        <v>27937.125616090685</v>
      </c>
      <c r="W76" s="61">
        <f>($C$8+$D$8+$E$8+$F$8+$G$8+$H$8+$I$8+$J$8+$K$8)*Table53[[#This Row],[Locality''s Allocation Percentage ]]</f>
        <v>10713.825826531223</v>
      </c>
      <c r="X76" s="61">
        <f>($C$9+$D$9+$E$9+$F$9+$G$9+$H$9+$I$9+$J$9+$K$9)*Table53[[#This Row],[Locality''s Allocation Percentage ]]</f>
        <v>11512.698216649977</v>
      </c>
      <c r="Y76" s="61">
        <f>($C$10+$D$10+$E$10+$F$10+$G$10+$H$10+$I$10+$J$10+$K$10)*Table53[[#This Row],[Locality''s Allocation Percentage ]]</f>
        <v>12235.251264023327</v>
      </c>
      <c r="Z76" s="61">
        <f>($C$11+$D$11+$E$11+$F$11+$G$11+$H$11+$I$11+$J$11+$K$11)*Table53[[#This Row],[Locality''s Allocation Percentage ]]</f>
        <v>9321.5793909472959</v>
      </c>
      <c r="AA76" s="61">
        <f>($C$12+$D$12+$E$12+$F$12+$G$12+$H$12+$I$12+$J$12+$K$12)*Table53[[#This Row],[Locality''s Allocation Percentage ]]</f>
        <v>13064.261418986529</v>
      </c>
      <c r="AB76" s="61">
        <f>($C$13+$D$13+$E$13+$F$13+$G$13+$H$13+$I$13+$J$13+$K$13)*Table53[[#This Row],[Locality''s Allocation Percentage ]]</f>
        <v>13123.702965849572</v>
      </c>
      <c r="AC76" s="61">
        <f>($C$14+$D$14+$E$14+$F$14+$G$14+$H$14+$I$14+$J$14+$K$14)*Table53[[#This Row],[Locality''s Allocation Percentage ]]</f>
        <v>12287.630174436286</v>
      </c>
      <c r="AD76" s="61">
        <f>($C$15+$D$15+$E$15+$F$15+$G$15+$H$15+$I$15+$J$15+$K$15)*Table53[[#This Row],[Locality''s Allocation Percentage ]]</f>
        <v>11402.99603761809</v>
      </c>
      <c r="AE76" s="61">
        <f>($C$16+$D$16+$E$16+$F$16+$G$16+$H$16+$I$16+$J$16+$K$16)*Table53[[#This Row],[Locality''s Allocation Percentage ]]</f>
        <v>10483.059626742268</v>
      </c>
      <c r="AF76" s="61">
        <f>($C$17+$D$17+$E$17+$F$17+$G$17+$H$17+$I$17+$J$17+$K$17)*Table53[[#This Row],[Locality''s Allocation Percentage ]]</f>
        <v>8000.1066189721923</v>
      </c>
      <c r="AG76" s="61">
        <f>($C$18+$D$18+$E$18+$F$18+$G$18+$H$18+$I$18+$J$18+$K$18)*Table53[[#This Row],[Locality''s Allocation Percentage ]]</f>
        <v>8000.1066189721923</v>
      </c>
      <c r="AH76" s="61">
        <f>($C$19+$D$19+$E$19+$F$19+$G$19+$H$19+$I$19+$J$19+$K$19)*Table53[[#This Row],[Locality''s Allocation Percentage ]]</f>
        <v>8000.1066189721923</v>
      </c>
      <c r="AI76" s="61">
        <f>($C$20+$D$20+$E$20+$F$20+$G$20+$H$20+$I$20+$J$20+$K$20)*Table53[[#This Row],[Locality''s Allocation Percentage ]]</f>
        <v>6646.9276539825432</v>
      </c>
      <c r="AJ76" s="61">
        <f>($C$21+$D$21+$E$21+$F$21+$G$21+$H$21+$I$21+$J$21+$K$21)*Table53[[#This Row],[Locality''s Allocation Percentage ]]</f>
        <v>6646.9276539825432</v>
      </c>
      <c r="AK76" s="61">
        <f>($C$22+$D$22+$E$22+$F$22+$G$22+$H$22+$I$22+$J$22+$K$22)*Table53[[#This Row],[Locality''s Allocation Percentage ]]</f>
        <v>4653.6280329863366</v>
      </c>
      <c r="AL76" s="61"/>
      <c r="AM76" s="61"/>
      <c r="AN76" s="61">
        <f>$L$6*Table53[[#This Row],[Locality''s Allocation Percentage ]]</f>
        <v>8197.0971840033344</v>
      </c>
      <c r="AO76" s="61">
        <f>$L$7*Table53[[#This Row],[Locality''s Allocation Percentage ]]</f>
        <v>9488.5616996389908</v>
      </c>
      <c r="AP76" s="61">
        <f>$L$8*Table53[[#This Row],[Locality''s Allocation Percentage ]]</f>
        <v>3694.9805004304226</v>
      </c>
      <c r="AQ76" s="61">
        <f>$L$9*Table53[[#This Row],[Locality''s Allocation Percentage ]]</f>
        <v>4053.9768686975513</v>
      </c>
      <c r="AR76" s="61">
        <f>$L$10*Table53[[#This Row],[Locality''s Allocation Percentage ]]</f>
        <v>4318.9129860677795</v>
      </c>
      <c r="AS76" s="61">
        <f>$L$11*Table53[[#This Row],[Locality''s Allocation Percentage ]]</f>
        <v>3250.566632606568</v>
      </c>
      <c r="AT76" s="61">
        <f>$L$12*Table53[[#This Row],[Locality''s Allocation Percentage ]]</f>
        <v>4622.8833762209533</v>
      </c>
      <c r="AU76" s="61">
        <f>$L$13*Table53[[#This Row],[Locality''s Allocation Percentage ]]</f>
        <v>4650.629041959055</v>
      </c>
      <c r="AV76" s="61">
        <f>$L$14*Table53[[#This Row],[Locality''s Allocation Percentage ]]</f>
        <v>4325.174531509314</v>
      </c>
      <c r="AW76" s="61">
        <f>$L$15*Table53[[#This Row],[Locality''s Allocation Percentage ]]</f>
        <v>4000.9031175510045</v>
      </c>
      <c r="AX76" s="61">
        <f>$L$16*Table53[[#This Row],[Locality''s Allocation Percentage ]]</f>
        <v>3663.5931002298694</v>
      </c>
      <c r="AY76" s="61">
        <f>$L$17*Table53[[#This Row],[Locality''s Allocation Percentage ]]</f>
        <v>2860.2847741866094</v>
      </c>
      <c r="AZ76" s="61">
        <f>$L$18*Table53[[#This Row],[Locality''s Allocation Percentage ]]</f>
        <v>2860.2847741866094</v>
      </c>
      <c r="BA76" s="61">
        <f>$L$19*Table53[[#This Row],[Locality''s Allocation Percentage ]]</f>
        <v>2860.2847741866094</v>
      </c>
      <c r="BB76" s="61">
        <f>$L$20*Table53[[#This Row],[Locality''s Allocation Percentage ]]</f>
        <v>2364.1191536904053</v>
      </c>
      <c r="BC76" s="61">
        <f>$L$21*Table53[[#This Row],[Locality''s Allocation Percentage ]]</f>
        <v>2364.1191536904053</v>
      </c>
      <c r="BD76" s="61">
        <f>$L$22*Table53[[#This Row],[Locality''s Allocation Percentage ]]</f>
        <v>1706.3302787616565</v>
      </c>
      <c r="BE76" s="61"/>
      <c r="BF76" s="61">
        <f t="shared" si="70"/>
        <v>0</v>
      </c>
      <c r="BG76" s="61">
        <f t="shared" si="70"/>
        <v>2049.2742960008336</v>
      </c>
      <c r="BH76" s="61">
        <f t="shared" si="40"/>
        <v>2372.1404249097477</v>
      </c>
      <c r="BI76" s="61">
        <f t="shared" si="41"/>
        <v>923.74512510760565</v>
      </c>
      <c r="BJ76" s="61">
        <f t="shared" si="42"/>
        <v>1013.4942171743878</v>
      </c>
      <c r="BK76" s="61">
        <f t="shared" si="43"/>
        <v>1079.7282465169449</v>
      </c>
      <c r="BL76" s="61">
        <f t="shared" si="44"/>
        <v>812.64165815164199</v>
      </c>
      <c r="BM76" s="61">
        <f t="shared" si="45"/>
        <v>1155.7208440552383</v>
      </c>
      <c r="BN76" s="61">
        <f t="shared" si="46"/>
        <v>1162.6572604897638</v>
      </c>
      <c r="BO76" s="61">
        <f t="shared" si="47"/>
        <v>1081.2936328773285</v>
      </c>
      <c r="BP76" s="61">
        <f t="shared" si="48"/>
        <v>1000.2257793877511</v>
      </c>
      <c r="BQ76" s="61">
        <f t="shared" si="49"/>
        <v>915.89827505746734</v>
      </c>
      <c r="BR76" s="61">
        <f t="shared" si="50"/>
        <v>715.07119354665235</v>
      </c>
      <c r="BS76" s="61">
        <f t="shared" si="51"/>
        <v>715.07119354665235</v>
      </c>
      <c r="BT76" s="61">
        <f t="shared" si="52"/>
        <v>715.07119354665235</v>
      </c>
      <c r="BU76" s="61">
        <f t="shared" si="53"/>
        <v>591.02978842260131</v>
      </c>
      <c r="BV76" s="61">
        <f t="shared" si="54"/>
        <v>591.02978842260131</v>
      </c>
      <c r="BW76" s="61">
        <f t="shared" si="37"/>
        <v>426.58256969041412</v>
      </c>
      <c r="BX76" s="61"/>
      <c r="BY76" s="61">
        <f>($C$6+$D$6+$E$6)*Table53[[#This Row],[Locality''s Allocation Percentage ]]</f>
        <v>22653.146093133448</v>
      </c>
      <c r="BZ76" s="61">
        <f>$L$6*Table53[[#This Row],[Locality''s Allocation Percentage ]]</f>
        <v>8197.0971840033344</v>
      </c>
      <c r="CA76" s="61">
        <f t="shared" si="71"/>
        <v>2049.2742960008336</v>
      </c>
      <c r="CB76" s="76">
        <f>($C$7+$D$7+$E$7)*Table53[[#This Row],[Locality''s Allocation Percentage ]]</f>
        <v>8169.6053840083896</v>
      </c>
      <c r="CC76" s="76">
        <f>$L$7*Table53[[#This Row],[Locality''s Allocation Percentage ]]</f>
        <v>9488.5616996389908</v>
      </c>
      <c r="CD76" s="76">
        <f t="shared" si="72"/>
        <v>2372.1404249097477</v>
      </c>
    </row>
    <row r="77" spans="2:82" s="19" customFormat="1" ht="18" customHeight="1" x14ac:dyDescent="0.25">
      <c r="P77" s="36" t="s">
        <v>142</v>
      </c>
      <c r="Q77" s="37">
        <v>8.1600816008160094E-3</v>
      </c>
      <c r="S77" s="22" t="s">
        <v>142</v>
      </c>
      <c r="T77" s="61">
        <f>($C$5+$D$5+$E$5+$F$5+$G$5+$H$5+$I$5+$J$5+$K$5)*Table53[[#This Row],[Locality''s Allocation Percentage ]]</f>
        <v>33181.414760112035</v>
      </c>
      <c r="U77" s="61">
        <f>($C$6+$D$6+$E$6+$F$6+$G$6+$H$6+$I$6+$J$6+$K$6)*Table53[[#This Row],[Locality''s Allocation Percentage ]]</f>
        <v>210056.44559087401</v>
      </c>
      <c r="V77" s="61">
        <f>($C$7+$D$7+$E$7+$F$7+$G$7+$H$7+$I$7+$J$7+$K$7)*Table53[[#This Row],[Locality''s Allocation Percentage ]]</f>
        <v>259053.34662193211</v>
      </c>
      <c r="W77" s="61">
        <f>($C$8+$D$8+$E$8+$F$8+$G$8+$H$8+$I$8+$J$8+$K$8)*Table53[[#This Row],[Locality''s Allocation Percentage ]]</f>
        <v>99346.384936925999</v>
      </c>
      <c r="X77" s="61">
        <f>($C$9+$D$9+$E$9+$F$9+$G$9+$H$9+$I$9+$J$9+$K$9)*Table53[[#This Row],[Locality''s Allocation Percentage ]]</f>
        <v>106754.110736209</v>
      </c>
      <c r="Y77" s="61">
        <f>($C$10+$D$10+$E$10+$F$10+$G$10+$H$10+$I$10+$J$10+$K$10)*Table53[[#This Row],[Locality''s Allocation Percentage ]]</f>
        <v>113454.14808458007</v>
      </c>
      <c r="Z77" s="61">
        <f>($C$11+$D$11+$E$11+$F$11+$G$11+$H$11+$I$11+$J$11+$K$11)*Table53[[#This Row],[Locality''s Allocation Percentage ]]</f>
        <v>86436.463443329572</v>
      </c>
      <c r="AA77" s="61">
        <f>($C$12+$D$12+$E$12+$F$12+$G$12+$H$12+$I$12+$J$12+$K$12)*Table53[[#This Row],[Locality''s Allocation Percentage ]]</f>
        <v>121141.33315787523</v>
      </c>
      <c r="AB77" s="61">
        <f>($C$13+$D$13+$E$13+$F$13+$G$13+$H$13+$I$13+$J$13+$K$13)*Table53[[#This Row],[Locality''s Allocation Percentage ]]</f>
        <v>121692.51841060526</v>
      </c>
      <c r="AC77" s="61">
        <f>($C$14+$D$14+$E$14+$F$14+$G$14+$H$14+$I$14+$J$14+$K$14)*Table53[[#This Row],[Locality''s Allocation Percentage ]]</f>
        <v>113939.84343568205</v>
      </c>
      <c r="AD77" s="61">
        <f>($C$15+$D$15+$E$15+$F$15+$G$15+$H$15+$I$15+$J$15+$K$15)*Table53[[#This Row],[Locality''s Allocation Percentage ]]</f>
        <v>105736.87234882241</v>
      </c>
      <c r="AE77" s="61">
        <f>($C$16+$D$16+$E$16+$F$16+$G$16+$H$16+$I$16+$J$16+$K$16)*Table53[[#This Row],[Locality''s Allocation Percentage ]]</f>
        <v>97206.552902519325</v>
      </c>
      <c r="AF77" s="61">
        <f>($C$17+$D$17+$E$17+$F$17+$G$17+$H$17+$I$17+$J$17+$K$17)*Table53[[#This Row],[Locality''s Allocation Percentage ]]</f>
        <v>74182.806830469504</v>
      </c>
      <c r="AG77" s="61">
        <f>($C$18+$D$18+$E$18+$F$18+$G$18+$H$18+$I$18+$J$18+$K$18)*Table53[[#This Row],[Locality''s Allocation Percentage ]]</f>
        <v>74182.806830469504</v>
      </c>
      <c r="AH77" s="61">
        <f>($C$19+$D$19+$E$19+$F$19+$G$19+$H$19+$I$19+$J$19+$K$19)*Table53[[#This Row],[Locality''s Allocation Percentage ]]</f>
        <v>74182.806830469504</v>
      </c>
      <c r="AI77" s="61">
        <f>($C$20+$D$20+$E$20+$F$20+$G$20+$H$20+$I$20+$J$20+$K$20)*Table53[[#This Row],[Locality''s Allocation Percentage ]]</f>
        <v>61635.147336929112</v>
      </c>
      <c r="AJ77" s="61">
        <f>($C$21+$D$21+$E$21+$F$21+$G$21+$H$21+$I$21+$J$21+$K$21)*Table53[[#This Row],[Locality''s Allocation Percentage ]]</f>
        <v>61635.147336929112</v>
      </c>
      <c r="AK77" s="61">
        <f>($C$22+$D$22+$E$22+$F$22+$G$22+$H$22+$I$22+$J$22+$K$22)*Table53[[#This Row],[Locality''s Allocation Percentage ]]</f>
        <v>43151.823578600619</v>
      </c>
      <c r="AL77" s="61"/>
      <c r="AM77" s="61"/>
      <c r="AN77" s="61">
        <f>$L$6*Table53[[#This Row],[Locality''s Allocation Percentage ]]</f>
        <v>76009.446615303736</v>
      </c>
      <c r="AO77" s="61">
        <f>$L$7*Table53[[#This Row],[Locality''s Allocation Percentage ]]</f>
        <v>87984.84485119801</v>
      </c>
      <c r="AP77" s="61">
        <f>$L$8*Table53[[#This Row],[Locality''s Allocation Percentage ]]</f>
        <v>34262.546458536686</v>
      </c>
      <c r="AQ77" s="61">
        <f>$L$9*Table53[[#This Row],[Locality''s Allocation Percentage ]]</f>
        <v>37591.421873377338</v>
      </c>
      <c r="AR77" s="61">
        <f>$L$10*Table53[[#This Row],[Locality''s Allocation Percentage ]]</f>
        <v>40048.102234446727</v>
      </c>
      <c r="AS77" s="61">
        <f>$L$11*Table53[[#This Row],[Locality''s Allocation Percentage ]]</f>
        <v>30141.617865988206</v>
      </c>
      <c r="AT77" s="61">
        <f>$L$12*Table53[[#This Row],[Locality''s Allocation Percentage ]]</f>
        <v>42866.736761321619</v>
      </c>
      <c r="AU77" s="61">
        <f>$L$13*Table53[[#This Row],[Locality''s Allocation Percentage ]]</f>
        <v>43124.014752711286</v>
      </c>
      <c r="AV77" s="61">
        <f>$L$14*Table53[[#This Row],[Locality''s Allocation Percentage ]]</f>
        <v>40106.163837631866</v>
      </c>
      <c r="AW77" s="61">
        <f>$L$15*Table53[[#This Row],[Locality''s Allocation Percentage ]]</f>
        <v>37099.283453654811</v>
      </c>
      <c r="AX77" s="61">
        <f>$L$16*Table53[[#This Row],[Locality''s Allocation Percentage ]]</f>
        <v>33971.499656677006</v>
      </c>
      <c r="AY77" s="61">
        <f>$L$17*Table53[[#This Row],[Locality''s Allocation Percentage ]]</f>
        <v>26522.640633366773</v>
      </c>
      <c r="AZ77" s="61">
        <f>$L$18*Table53[[#This Row],[Locality''s Allocation Percentage ]]</f>
        <v>26522.640633366773</v>
      </c>
      <c r="BA77" s="61">
        <f>$L$19*Table53[[#This Row],[Locality''s Allocation Percentage ]]</f>
        <v>26522.640633366773</v>
      </c>
      <c r="BB77" s="61">
        <f>$L$20*Table53[[#This Row],[Locality''s Allocation Percentage ]]</f>
        <v>21921.832152401963</v>
      </c>
      <c r="BC77" s="61">
        <f>$L$21*Table53[[#This Row],[Locality''s Allocation Percentage ]]</f>
        <v>21921.832152401963</v>
      </c>
      <c r="BD77" s="61">
        <f>$L$22*Table53[[#This Row],[Locality''s Allocation Percentage ]]</f>
        <v>15822.33531215356</v>
      </c>
      <c r="BE77" s="61"/>
      <c r="BF77" s="61">
        <f t="shared" si="70"/>
        <v>0</v>
      </c>
      <c r="BG77" s="61">
        <f t="shared" si="70"/>
        <v>19002.361653825934</v>
      </c>
      <c r="BH77" s="61">
        <f t="shared" si="40"/>
        <v>21996.211212799502</v>
      </c>
      <c r="BI77" s="61">
        <f t="shared" si="41"/>
        <v>8565.6366146341716</v>
      </c>
      <c r="BJ77" s="61">
        <f t="shared" si="42"/>
        <v>9397.8554683443344</v>
      </c>
      <c r="BK77" s="61">
        <f t="shared" si="43"/>
        <v>10012.025558611682</v>
      </c>
      <c r="BL77" s="61">
        <f t="shared" si="44"/>
        <v>7535.4044664970515</v>
      </c>
      <c r="BM77" s="61">
        <f t="shared" si="45"/>
        <v>10716.684190330405</v>
      </c>
      <c r="BN77" s="61">
        <f t="shared" si="46"/>
        <v>10781.003688177821</v>
      </c>
      <c r="BO77" s="61">
        <f t="shared" si="47"/>
        <v>10026.540959407967</v>
      </c>
      <c r="BP77" s="61">
        <f t="shared" si="48"/>
        <v>9274.8208634137027</v>
      </c>
      <c r="BQ77" s="61">
        <f t="shared" si="49"/>
        <v>8492.8749141692515</v>
      </c>
      <c r="BR77" s="61">
        <f t="shared" si="50"/>
        <v>6630.6601583416932</v>
      </c>
      <c r="BS77" s="61">
        <f t="shared" si="51"/>
        <v>6630.6601583416932</v>
      </c>
      <c r="BT77" s="61">
        <f t="shared" si="52"/>
        <v>6630.6601583416932</v>
      </c>
      <c r="BU77" s="61">
        <f t="shared" si="53"/>
        <v>5480.4580381004907</v>
      </c>
      <c r="BV77" s="61">
        <f t="shared" si="54"/>
        <v>5480.4580381004907</v>
      </c>
      <c r="BW77" s="61">
        <f t="shared" si="37"/>
        <v>3955.58382803839</v>
      </c>
      <c r="BX77" s="61"/>
      <c r="BY77" s="61">
        <f>($C$6+$D$6+$E$6)*Table53[[#This Row],[Locality''s Allocation Percentage ]]</f>
        <v>210056.44559087401</v>
      </c>
      <c r="BZ77" s="61">
        <f>$L$6*Table53[[#This Row],[Locality''s Allocation Percentage ]]</f>
        <v>76009.446615303736</v>
      </c>
      <c r="CA77" s="61">
        <f t="shared" si="71"/>
        <v>19002.361653825934</v>
      </c>
      <c r="CB77" s="76">
        <f>($C$7+$D$7+$E$7)*Table53[[#This Row],[Locality''s Allocation Percentage ]]</f>
        <v>75754.522651714244</v>
      </c>
      <c r="CC77" s="76">
        <f>$L$7*Table53[[#This Row],[Locality''s Allocation Percentage ]]</f>
        <v>87984.84485119801</v>
      </c>
      <c r="CD77" s="76">
        <f t="shared" si="72"/>
        <v>21996.211212799502</v>
      </c>
    </row>
    <row r="78" spans="2:82" s="19" customFormat="1" ht="18" customHeight="1" x14ac:dyDescent="0.25">
      <c r="P78" s="36" t="s">
        <v>276</v>
      </c>
      <c r="Q78" s="37">
        <v>1.6300163001629999E-3</v>
      </c>
      <c r="S78" s="22" t="s">
        <v>143</v>
      </c>
      <c r="T78" s="61">
        <f>($C$5+$D$5+$E$5+$F$5+$G$5+$H$5+$I$5+$J$5+$K$5)*Table53[[#This Row],[Locality''s Allocation Percentage ]]</f>
        <v>6628.1502523262925</v>
      </c>
      <c r="U78" s="61">
        <f>($C$6+$D$6+$E$6+$F$6+$G$6+$H$6+$I$6+$J$6+$K$6)*Table53[[#This Row],[Locality''s Allocation Percentage ]]</f>
        <v>41959.804695235813</v>
      </c>
      <c r="V78" s="61">
        <f>($C$7+$D$7+$E$7+$F$7+$G$7+$H$7+$I$7+$J$7+$K$7)*Table53[[#This Row],[Locality''s Allocation Percentage ]]</f>
        <v>51747.175857077062</v>
      </c>
      <c r="W78" s="61">
        <f>($C$8+$D$8+$E$8+$F$8+$G$8+$H$8+$I$8+$J$8+$K$8)*Table53[[#This Row],[Locality''s Allocation Percentage ]]</f>
        <v>19844.927383233968</v>
      </c>
      <c r="X78" s="61">
        <f>($C$9+$D$9+$E$9+$F$9+$G$9+$H$9+$I$9+$J$9+$K$9)*Table53[[#This Row],[Locality''s Allocation Percentage ]]</f>
        <v>21324.656924022114</v>
      </c>
      <c r="Y78" s="61">
        <f>($C$10+$D$10+$E$10+$F$10+$G$10+$H$10+$I$10+$J$10+$K$10)*Table53[[#This Row],[Locality''s Allocation Percentage ]]</f>
        <v>22663.022227679572</v>
      </c>
      <c r="Z78" s="61">
        <f>($C$11+$D$11+$E$11+$F$11+$G$11+$H$11+$I$11+$J$11+$K$11)*Table53[[#This Row],[Locality''s Allocation Percentage ]]</f>
        <v>17266.107280959193</v>
      </c>
      <c r="AA78" s="61">
        <f>($C$12+$D$12+$E$12+$F$12+$G$12+$H$12+$I$12+$J$12+$K$12)*Table53[[#This Row],[Locality''s Allocation Percentage ]]</f>
        <v>24198.575128350047</v>
      </c>
      <c r="AB78" s="61">
        <f>($C$13+$D$13+$E$13+$F$13+$G$13+$H$13+$I$13+$J$13+$K$13)*Table53[[#This Row],[Locality''s Allocation Percentage ]]</f>
        <v>24308.677084471365</v>
      </c>
      <c r="AC78" s="61">
        <f>($C$14+$D$14+$E$14+$F$14+$G$14+$H$14+$I$14+$J$14+$K$14)*Table53[[#This Row],[Locality''s Allocation Percentage ]]</f>
        <v>22760.042254921755</v>
      </c>
      <c r="AD78" s="61">
        <f>($C$15+$D$15+$E$15+$F$15+$G$15+$H$15+$I$15+$J$15+$K$15)*Table53[[#This Row],[Locality''s Allocation Percentage ]]</f>
        <v>21121.458569678962</v>
      </c>
      <c r="AE78" s="61">
        <f>($C$16+$D$16+$E$16+$F$16+$G$16+$H$16+$I$16+$J$16+$K$16)*Table53[[#This Row],[Locality''s Allocation Percentage ]]</f>
        <v>19417.485444988517</v>
      </c>
      <c r="AF78" s="61">
        <f>($C$17+$D$17+$E$17+$F$17+$G$17+$H$17+$I$17+$J$17+$K$17)*Table53[[#This Row],[Locality''s Allocation Percentage ]]</f>
        <v>14818.379305596218</v>
      </c>
      <c r="AG78" s="61">
        <f>($C$18+$D$18+$E$18+$F$18+$G$18+$H$18+$I$18+$J$18+$K$18)*Table53[[#This Row],[Locality''s Allocation Percentage ]]</f>
        <v>14818.379305596218</v>
      </c>
      <c r="AH78" s="61">
        <f>($C$19+$D$19+$E$19+$F$19+$G$19+$H$19+$I$19+$J$19+$K$19)*Table53[[#This Row],[Locality''s Allocation Percentage ]]</f>
        <v>14818.379305596218</v>
      </c>
      <c r="AI78" s="61">
        <f>($C$20+$D$20+$E$20+$F$20+$G$20+$H$20+$I$20+$J$20+$K$20)*Table53[[#This Row],[Locality''s Allocation Percentage ]]</f>
        <v>12311.922813626756</v>
      </c>
      <c r="AJ78" s="61">
        <f>($C$21+$D$21+$E$21+$F$21+$G$21+$H$21+$I$21+$J$21+$K$21)*Table53[[#This Row],[Locality''s Allocation Percentage ]]</f>
        <v>12311.922813626756</v>
      </c>
      <c r="AK78" s="61">
        <f>($C$22+$D$22+$E$22+$F$22+$G$22+$H$22+$I$22+$J$22+$K$22)*Table53[[#This Row],[Locality''s Allocation Percentage ]]</f>
        <v>8619.7882883724178</v>
      </c>
      <c r="AL78" s="61"/>
      <c r="AM78" s="61"/>
      <c r="AN78" s="61">
        <f>$L$6*Table53[[#This Row],[Locality''s Allocation Percentage ]]</f>
        <v>15183.259556733448</v>
      </c>
      <c r="AO78" s="61">
        <f>$L$7*Table53[[#This Row],[Locality''s Allocation Percentage ]]</f>
        <v>17575.404057285858</v>
      </c>
      <c r="AP78" s="61">
        <f>$L$8*Table53[[#This Row],[Locality''s Allocation Percentage ]]</f>
        <v>6844.1116087518049</v>
      </c>
      <c r="AQ78" s="61">
        <f>$L$9*Table53[[#This Row],[Locality''s Allocation Percentage ]]</f>
        <v>7509.0707908829636</v>
      </c>
      <c r="AR78" s="61">
        <f>$L$10*Table53[[#This Row],[Locality''s Allocation Percentage ]]</f>
        <v>7999.8047355573644</v>
      </c>
      <c r="AS78" s="61">
        <f>$L$11*Table53[[#This Row],[Locality''s Allocation Percentage ]]</f>
        <v>6020.9359217598922</v>
      </c>
      <c r="AT78" s="61">
        <f>$L$12*Table53[[#This Row],[Locality''s Allocation Percentage ]]</f>
        <v>8562.8407991365384</v>
      </c>
      <c r="AU78" s="61">
        <f>$L$13*Table53[[#This Row],[Locality''s Allocation Percentage ]]</f>
        <v>8614.2333390832482</v>
      </c>
      <c r="AV78" s="61">
        <f>$L$14*Table53[[#This Row],[Locality''s Allocation Percentage ]]</f>
        <v>8011.4028254092973</v>
      </c>
      <c r="AW78" s="61">
        <f>$L$15*Table53[[#This Row],[Locality''s Allocation Percentage ]]</f>
        <v>7410.7637291001547</v>
      </c>
      <c r="AX78" s="61">
        <f>$L$16*Table53[[#This Row],[Locality''s Allocation Percentage ]]</f>
        <v>6785.9735833803252</v>
      </c>
      <c r="AY78" s="61">
        <f>$L$17*Table53[[#This Row],[Locality''s Allocation Percentage ]]</f>
        <v>5298.0274794592879</v>
      </c>
      <c r="AZ78" s="61">
        <f>$L$18*Table53[[#This Row],[Locality''s Allocation Percentage ]]</f>
        <v>5298.0274794592879</v>
      </c>
      <c r="BA78" s="61">
        <f>$L$19*Table53[[#This Row],[Locality''s Allocation Percentage ]]</f>
        <v>5298.0274794592879</v>
      </c>
      <c r="BB78" s="61">
        <f>$L$20*Table53[[#This Row],[Locality''s Allocation Percentage ]]</f>
        <v>4378.9934324038186</v>
      </c>
      <c r="BC78" s="61">
        <f>$L$21*Table53[[#This Row],[Locality''s Allocation Percentage ]]</f>
        <v>4378.9934324038186</v>
      </c>
      <c r="BD78" s="61">
        <f>$L$22*Table53[[#This Row],[Locality''s Allocation Percentage ]]</f>
        <v>3160.589039069886</v>
      </c>
      <c r="BE78" s="61"/>
      <c r="BF78" s="61">
        <f t="shared" si="70"/>
        <v>0</v>
      </c>
      <c r="BG78" s="61">
        <f t="shared" si="70"/>
        <v>3795.8148891833621</v>
      </c>
      <c r="BH78" s="61">
        <f t="shared" si="40"/>
        <v>4393.8510143214644</v>
      </c>
      <c r="BI78" s="61">
        <f t="shared" si="41"/>
        <v>1711.0279021879512</v>
      </c>
      <c r="BJ78" s="61">
        <f t="shared" si="42"/>
        <v>1877.2676977207409</v>
      </c>
      <c r="BK78" s="61">
        <f t="shared" si="43"/>
        <v>1999.9511838893411</v>
      </c>
      <c r="BL78" s="61">
        <f t="shared" si="44"/>
        <v>1505.233980439973</v>
      </c>
      <c r="BM78" s="61">
        <f t="shared" si="45"/>
        <v>2140.7101997841346</v>
      </c>
      <c r="BN78" s="61">
        <f t="shared" si="46"/>
        <v>2153.5583347708121</v>
      </c>
      <c r="BO78" s="61">
        <f t="shared" si="47"/>
        <v>2002.8507063523243</v>
      </c>
      <c r="BP78" s="61">
        <f t="shared" si="48"/>
        <v>1852.6909322750387</v>
      </c>
      <c r="BQ78" s="61">
        <f t="shared" si="49"/>
        <v>1696.4933958450813</v>
      </c>
      <c r="BR78" s="61">
        <f t="shared" si="50"/>
        <v>1324.506869864822</v>
      </c>
      <c r="BS78" s="61">
        <f t="shared" si="51"/>
        <v>1324.506869864822</v>
      </c>
      <c r="BT78" s="61">
        <f t="shared" si="52"/>
        <v>1324.506869864822</v>
      </c>
      <c r="BU78" s="61">
        <f t="shared" si="53"/>
        <v>1094.7483581009546</v>
      </c>
      <c r="BV78" s="61">
        <f t="shared" si="54"/>
        <v>1094.7483581009546</v>
      </c>
      <c r="BW78" s="61">
        <f t="shared" si="37"/>
        <v>790.1472597674715</v>
      </c>
      <c r="BX78" s="61"/>
      <c r="BY78" s="61">
        <f>($C$6+$D$6+$E$6)*Table53[[#This Row],[Locality''s Allocation Percentage ]]</f>
        <v>41959.804695235813</v>
      </c>
      <c r="BZ78" s="61">
        <f>$L$6*Table53[[#This Row],[Locality''s Allocation Percentage ]]</f>
        <v>15183.259556733448</v>
      </c>
      <c r="CA78" s="61">
        <f t="shared" si="71"/>
        <v>3795.8148891833621</v>
      </c>
      <c r="CB78" s="76">
        <f>($C$7+$D$7+$E$7)*Table53[[#This Row],[Locality''s Allocation Percentage ]]</f>
        <v>15132.337245379174</v>
      </c>
      <c r="CC78" s="76">
        <f>$L$7*Table53[[#This Row],[Locality''s Allocation Percentage ]]</f>
        <v>17575.404057285858</v>
      </c>
      <c r="CD78" s="76">
        <f t="shared" si="72"/>
        <v>4393.8510143214644</v>
      </c>
    </row>
    <row r="79" spans="2:82" s="19" customFormat="1" ht="18" customHeight="1" x14ac:dyDescent="0.25">
      <c r="P79" s="36" t="s">
        <v>144</v>
      </c>
      <c r="Q79" s="37">
        <v>4.5200452004519999E-3</v>
      </c>
      <c r="S79" s="22" t="s">
        <v>144</v>
      </c>
      <c r="T79" s="61">
        <f>($C$5+$D$5+$E$5+$F$5+$G$5+$H$5+$I$5+$J$5+$K$5)*Table53[[#This Row],[Locality''s Allocation Percentage ]]</f>
        <v>18379.901313199291</v>
      </c>
      <c r="U79" s="61">
        <f>($C$6+$D$6+$E$6+$F$6+$G$6+$H$6+$I$6+$J$6+$K$6)*Table53[[#This Row],[Locality''s Allocation Percentage ]]</f>
        <v>116354.79584200362</v>
      </c>
      <c r="V79" s="61">
        <f>($C$7+$D$7+$E$7+$F$7+$G$7+$H$7+$I$7+$J$7+$K$7)*Table53[[#This Row],[Locality''s Allocation Percentage ]]</f>
        <v>143495.23611901124</v>
      </c>
      <c r="W79" s="61">
        <f>($C$8+$D$8+$E$8+$F$8+$G$8+$H$8+$I$8+$J$8+$K$8)*Table53[[#This Row],[Locality''s Allocation Percentage ]]</f>
        <v>55030.10538172855</v>
      </c>
      <c r="X79" s="61">
        <f>($C$9+$D$9+$E$9+$F$9+$G$9+$H$9+$I$9+$J$9+$K$9)*Table53[[#This Row],[Locality''s Allocation Percentage ]]</f>
        <v>59133.404476429423</v>
      </c>
      <c r="Y79" s="61">
        <f>($C$10+$D$10+$E$10+$F$10+$G$10+$H$10+$I$10+$J$10+$K$10)*Table53[[#This Row],[Locality''s Allocation Percentage ]]</f>
        <v>62844.699674301635</v>
      </c>
      <c r="Z79" s="61">
        <f>($C$11+$D$11+$E$11+$F$11+$G$11+$H$11+$I$11+$J$11+$K$11)*Table53[[#This Row],[Locality''s Allocation Percentage ]]</f>
        <v>47879.021417138385</v>
      </c>
      <c r="AA79" s="61">
        <f>($C$12+$D$12+$E$12+$F$12+$G$12+$H$12+$I$12+$J$12+$K$12)*Table53[[#This Row],[Locality''s Allocation Percentage ]]</f>
        <v>67102.797288430811</v>
      </c>
      <c r="AB79" s="61">
        <f>($C$13+$D$13+$E$13+$F$13+$G$13+$H$13+$I$13+$J$13+$K$13)*Table53[[#This Row],[Locality''s Allocation Percentage ]]</f>
        <v>67408.110688227345</v>
      </c>
      <c r="AC79" s="61">
        <f>($C$14+$D$14+$E$14+$F$14+$G$14+$H$14+$I$14+$J$14+$K$14)*Table53[[#This Row],[Locality''s Allocation Percentage ]]</f>
        <v>63113.736805059103</v>
      </c>
      <c r="AD79" s="61">
        <f>($C$15+$D$15+$E$15+$F$15+$G$15+$H$15+$I$15+$J$15+$K$15)*Table53[[#This Row],[Locality''s Allocation Percentage ]]</f>
        <v>58569.934193220186</v>
      </c>
      <c r="AE79" s="61">
        <f>($C$16+$D$16+$E$16+$F$16+$G$16+$H$16+$I$16+$J$16+$K$16)*Table53[[#This Row],[Locality''s Allocation Percentage ]]</f>
        <v>53844.806264630737</v>
      </c>
      <c r="AF79" s="61">
        <f>($C$17+$D$17+$E$17+$F$17+$G$17+$H$17+$I$17+$J$17+$K$17)*Table53[[#This Row],[Locality''s Allocation Percentage ]]</f>
        <v>41091.456724720803</v>
      </c>
      <c r="AG79" s="61">
        <f>($C$18+$D$18+$E$18+$F$18+$G$18+$H$18+$I$18+$J$18+$K$18)*Table53[[#This Row],[Locality''s Allocation Percentage ]]</f>
        <v>41091.456724720803</v>
      </c>
      <c r="AH79" s="61">
        <f>($C$19+$D$19+$E$19+$F$19+$G$19+$H$19+$I$19+$J$19+$K$19)*Table53[[#This Row],[Locality''s Allocation Percentage ]]</f>
        <v>41091.456724720803</v>
      </c>
      <c r="AI79" s="61">
        <f>($C$20+$D$20+$E$20+$F$20+$G$20+$H$20+$I$20+$J$20+$K$20)*Table53[[#This Row],[Locality''s Allocation Percentage ]]</f>
        <v>34141.037495455792</v>
      </c>
      <c r="AJ79" s="61">
        <f>($C$21+$D$21+$E$21+$F$21+$G$21+$H$21+$I$21+$J$21+$K$21)*Table53[[#This Row],[Locality''s Allocation Percentage ]]</f>
        <v>34141.037495455792</v>
      </c>
      <c r="AK79" s="61">
        <f>($C$22+$D$22+$E$22+$F$22+$G$22+$H$22+$I$22+$J$22+$K$22)*Table53[[#This Row],[Locality''s Allocation Percentage ]]</f>
        <v>23902.725805793452</v>
      </c>
      <c r="AL79" s="61"/>
      <c r="AM79" s="61"/>
      <c r="AN79" s="61">
        <f>$L$6*Table53[[#This Row],[Locality''s Allocation Percentage ]]</f>
        <v>42103.27189965349</v>
      </c>
      <c r="AO79" s="61">
        <f>$L$7*Table53[[#This Row],[Locality''s Allocation Percentage ]]</f>
        <v>48736.703275418447</v>
      </c>
      <c r="AP79" s="61">
        <f>$L$8*Table53[[#This Row],[Locality''s Allocation Percentage ]]</f>
        <v>18978.763479483536</v>
      </c>
      <c r="AQ79" s="61">
        <f>$L$9*Table53[[#This Row],[Locality''s Allocation Percentage ]]</f>
        <v>20822.699371037423</v>
      </c>
      <c r="AR79" s="61">
        <f>$L$10*Table53[[#This Row],[Locality''s Allocation Percentage ]]</f>
        <v>22183.507610257231</v>
      </c>
      <c r="AS79" s="61">
        <f>$L$11*Table53[[#This Row],[Locality''s Allocation Percentage ]]</f>
        <v>16696.09224929737</v>
      </c>
      <c r="AT79" s="61">
        <f>$L$12*Table53[[#This Row],[Locality''s Allocation Percentage ]]</f>
        <v>23744.810068771261</v>
      </c>
      <c r="AU79" s="61">
        <f>$L$13*Table53[[#This Row],[Locality''s Allocation Percentage ]]</f>
        <v>23887.321897335143</v>
      </c>
      <c r="AV79" s="61">
        <f>$L$14*Table53[[#This Row],[Locality''s Allocation Percentage ]]</f>
        <v>22215.669184570568</v>
      </c>
      <c r="AW79" s="61">
        <f>$L$15*Table53[[#This Row],[Locality''s Allocation Percentage ]]</f>
        <v>20550.093285602885</v>
      </c>
      <c r="AX79" s="61">
        <f>$L$16*Table53[[#This Row],[Locality''s Allocation Percentage ]]</f>
        <v>18817.546378453419</v>
      </c>
      <c r="AY79" s="61">
        <f>$L$17*Table53[[#This Row],[Locality''s Allocation Percentage ]]</f>
        <v>14691.462703776675</v>
      </c>
      <c r="AZ79" s="61">
        <f>$L$18*Table53[[#This Row],[Locality''s Allocation Percentage ]]</f>
        <v>14691.462703776675</v>
      </c>
      <c r="BA79" s="61">
        <f>$L$19*Table53[[#This Row],[Locality''s Allocation Percentage ]]</f>
        <v>14691.462703776675</v>
      </c>
      <c r="BB79" s="61">
        <f>$L$20*Table53[[#This Row],[Locality''s Allocation Percentage ]]</f>
        <v>12142.975653046173</v>
      </c>
      <c r="BC79" s="61">
        <f>$L$21*Table53[[#This Row],[Locality''s Allocation Percentage ]]</f>
        <v>12142.975653046173</v>
      </c>
      <c r="BD79" s="61">
        <f>$L$22*Table53[[#This Row],[Locality''s Allocation Percentage ]]</f>
        <v>8764.3327954575998</v>
      </c>
      <c r="BE79" s="61"/>
      <c r="BF79" s="61">
        <f t="shared" si="70"/>
        <v>0</v>
      </c>
      <c r="BG79" s="61">
        <f t="shared" si="70"/>
        <v>10525.817974913372</v>
      </c>
      <c r="BH79" s="61">
        <f t="shared" si="40"/>
        <v>12184.175818854612</v>
      </c>
      <c r="BI79" s="61">
        <f t="shared" si="41"/>
        <v>4744.6908698708839</v>
      </c>
      <c r="BJ79" s="61">
        <f t="shared" si="42"/>
        <v>5205.6748427593557</v>
      </c>
      <c r="BK79" s="61">
        <f t="shared" si="43"/>
        <v>5545.8769025643078</v>
      </c>
      <c r="BL79" s="61">
        <f t="shared" si="44"/>
        <v>4174.0230623243424</v>
      </c>
      <c r="BM79" s="61">
        <f t="shared" si="45"/>
        <v>5936.2025171928153</v>
      </c>
      <c r="BN79" s="61">
        <f t="shared" si="46"/>
        <v>5971.8304743337858</v>
      </c>
      <c r="BO79" s="61">
        <f t="shared" si="47"/>
        <v>5553.917296142642</v>
      </c>
      <c r="BP79" s="61">
        <f t="shared" si="48"/>
        <v>5137.5233214007212</v>
      </c>
      <c r="BQ79" s="61">
        <f t="shared" si="49"/>
        <v>4704.3865946133546</v>
      </c>
      <c r="BR79" s="61">
        <f t="shared" si="50"/>
        <v>3672.8656759441687</v>
      </c>
      <c r="BS79" s="61">
        <f t="shared" si="51"/>
        <v>3672.8656759441687</v>
      </c>
      <c r="BT79" s="61">
        <f t="shared" si="52"/>
        <v>3672.8656759441687</v>
      </c>
      <c r="BU79" s="61">
        <f t="shared" si="53"/>
        <v>3035.7439132615432</v>
      </c>
      <c r="BV79" s="61">
        <f t="shared" si="54"/>
        <v>3035.7439132615432</v>
      </c>
      <c r="BW79" s="61">
        <f t="shared" si="37"/>
        <v>2191.0831988643999</v>
      </c>
      <c r="BX79" s="61"/>
      <c r="BY79" s="61">
        <f>($C$6+$D$6+$E$6)*Table53[[#This Row],[Locality''s Allocation Percentage ]]</f>
        <v>116354.79584200362</v>
      </c>
      <c r="BZ79" s="61">
        <f>$L$6*Table53[[#This Row],[Locality''s Allocation Percentage ]]</f>
        <v>42103.27189965349</v>
      </c>
      <c r="CA79" s="61">
        <f t="shared" si="71"/>
        <v>10525.817974913372</v>
      </c>
      <c r="CB79" s="76">
        <f>($C$7+$D$7+$E$7)*Table53[[#This Row],[Locality''s Allocation Percentage ]]</f>
        <v>41962.064017861274</v>
      </c>
      <c r="CC79" s="76">
        <f>$L$7*Table53[[#This Row],[Locality''s Allocation Percentage ]]</f>
        <v>48736.703275418447</v>
      </c>
      <c r="CD79" s="76">
        <f t="shared" si="72"/>
        <v>12184.175818854612</v>
      </c>
    </row>
    <row r="80" spans="2:82" s="19" customFormat="1" ht="18" customHeight="1" x14ac:dyDescent="0.25">
      <c r="D80" s="185" t="s">
        <v>370</v>
      </c>
      <c r="E80" s="185" t="s">
        <v>373</v>
      </c>
      <c r="F80" s="185" t="s">
        <v>374</v>
      </c>
      <c r="G80" s="185" t="s">
        <v>376</v>
      </c>
      <c r="H80" s="185" t="s">
        <v>377</v>
      </c>
      <c r="P80" s="36" t="s">
        <v>145</v>
      </c>
      <c r="Q80" s="37">
        <v>9.5000950009499995E-4</v>
      </c>
      <c r="S80" s="22" t="s">
        <v>145</v>
      </c>
      <c r="T80" s="61">
        <f>($C$5+$D$5+$E$5+$F$5+$G$5+$H$5+$I$5+$J$5+$K$5)*Table53[[#This Row],[Locality''s Allocation Percentage ]]</f>
        <v>3863.0323556502935</v>
      </c>
      <c r="U80" s="61">
        <f>($C$6+$D$6+$E$6+$F$6+$G$6+$H$6+$I$6+$J$6+$K$6)*Table53[[#This Row],[Locality''s Allocation Percentage ]]</f>
        <v>24455.100895996333</v>
      </c>
      <c r="V80" s="61">
        <f>($C$7+$D$7+$E$7+$F$7+$G$7+$H$7+$I$7+$J$7+$K$7)*Table53[[#This Row],[Locality''s Allocation Percentage ]]</f>
        <v>30159.396971916081</v>
      </c>
      <c r="W80" s="61">
        <f>($C$8+$D$8+$E$8+$F$8+$G$8+$H$8+$I$8+$J$8+$K$8)*Table53[[#This Row],[Locality''s Allocation Percentage ]]</f>
        <v>11566.061971823478</v>
      </c>
      <c r="X80" s="61">
        <f>($C$9+$D$9+$E$9+$F$9+$G$9+$H$9+$I$9+$J$9+$K$9)*Table53[[#This Row],[Locality''s Allocation Percentage ]]</f>
        <v>12428.481029338043</v>
      </c>
      <c r="Y80" s="61">
        <f>($C$10+$D$10+$E$10+$F$10+$G$10+$H$10+$I$10+$J$10+$K$10)*Table53[[#This Row],[Locality''s Allocation Percentage ]]</f>
        <v>13208.509887297909</v>
      </c>
      <c r="Z80" s="61">
        <f>($C$11+$D$11+$E$11+$F$11+$G$11+$H$11+$I$11+$J$11+$K$11)*Table53[[#This Row],[Locality''s Allocation Percentage ]]</f>
        <v>10063.06866068174</v>
      </c>
      <c r="AA80" s="61">
        <f>($C$12+$D$12+$E$12+$F$12+$G$12+$H$12+$I$12+$J$12+$K$12)*Table53[[#This Row],[Locality''s Allocation Percentage ]]</f>
        <v>14103.464031860456</v>
      </c>
      <c r="AB80" s="61">
        <f>($C$13+$D$13+$E$13+$F$13+$G$13+$H$13+$I$13+$J$13+$K$13)*Table53[[#This Row],[Locality''s Allocation Percentage ]]</f>
        <v>14167.633883587605</v>
      </c>
      <c r="AC80" s="61">
        <f>($C$14+$D$14+$E$14+$F$14+$G$14+$H$14+$I$14+$J$14+$K$14)*Table53[[#This Row],[Locality''s Allocation Percentage ]]</f>
        <v>13265.055301948263</v>
      </c>
      <c r="AD80" s="61">
        <f>($C$15+$D$15+$E$15+$F$15+$G$15+$H$15+$I$15+$J$15+$K$15)*Table53[[#This Row],[Locality''s Allocation Percentage ]]</f>
        <v>12310.052540610437</v>
      </c>
      <c r="AE80" s="61">
        <f>($C$16+$D$16+$E$16+$F$16+$G$16+$H$16+$I$16+$J$16+$K$16)*Table53[[#This Row],[Locality''s Allocation Percentage ]]</f>
        <v>11316.939369778584</v>
      </c>
      <c r="AF80" s="61">
        <f>($C$17+$D$17+$E$17+$F$17+$G$17+$H$17+$I$17+$J$17+$K$17)*Table53[[#This Row],[Locality''s Allocation Percentage ]]</f>
        <v>8636.4787363904343</v>
      </c>
      <c r="AG80" s="61">
        <f>($C$18+$D$18+$E$18+$F$18+$G$18+$H$18+$I$18+$J$18+$K$18)*Table53[[#This Row],[Locality''s Allocation Percentage ]]</f>
        <v>8636.4787363904343</v>
      </c>
      <c r="AH80" s="61">
        <f>($C$19+$D$19+$E$19+$F$19+$G$19+$H$19+$I$19+$J$19+$K$19)*Table53[[#This Row],[Locality''s Allocation Percentage ]]</f>
        <v>8636.4787363904343</v>
      </c>
      <c r="AI80" s="61">
        <f>($C$20+$D$20+$E$20+$F$20+$G$20+$H$20+$I$20+$J$20+$K$20)*Table53[[#This Row],[Locality''s Allocation Percentage ]]</f>
        <v>7175.6605355493366</v>
      </c>
      <c r="AJ80" s="61">
        <f>($C$21+$D$21+$E$21+$F$21+$G$21+$H$21+$I$21+$J$21+$K$21)*Table53[[#This Row],[Locality''s Allocation Percentage ]]</f>
        <v>7175.6605355493366</v>
      </c>
      <c r="AK80" s="61">
        <f>($C$22+$D$22+$E$22+$F$22+$G$22+$H$22+$I$22+$J$22+$K$22)*Table53[[#This Row],[Locality''s Allocation Percentage ]]</f>
        <v>5023.8029901557038</v>
      </c>
      <c r="AL80" s="61"/>
      <c r="AM80" s="61"/>
      <c r="AN80" s="61">
        <f>$L$6*Table53[[#This Row],[Locality''s Allocation Percentage ]]</f>
        <v>8849.1390054581443</v>
      </c>
      <c r="AO80" s="61">
        <f>$L$7*Table53[[#This Row],[Locality''s Allocation Percentage ]]</f>
        <v>10243.333653019365</v>
      </c>
      <c r="AP80" s="61">
        <f>$L$8*Table53[[#This Row],[Locality''s Allocation Percentage ]]</f>
        <v>3988.8994038737515</v>
      </c>
      <c r="AQ80" s="61">
        <f>$L$9*Table53[[#This Row],[Locality''s Allocation Percentage ]]</f>
        <v>4376.4523014348561</v>
      </c>
      <c r="AR80" s="61">
        <f>$L$10*Table53[[#This Row],[Locality''s Allocation Percentage ]]</f>
        <v>4662.4628826868075</v>
      </c>
      <c r="AS80" s="61">
        <f>$L$11*Table53[[#This Row],[Locality''s Allocation Percentage ]]</f>
        <v>3509.1344329275444</v>
      </c>
      <c r="AT80" s="61">
        <f>$L$12*Table53[[#This Row],[Locality''s Allocation Percentage ]]</f>
        <v>4990.6127356930747</v>
      </c>
      <c r="AU80" s="61">
        <f>$L$13*Table53[[#This Row],[Locality''s Allocation Percentage ]]</f>
        <v>5020.5654430239792</v>
      </c>
      <c r="AV80" s="61">
        <f>$L$14*Table53[[#This Row],[Locality''s Allocation Percentage ]]</f>
        <v>4669.2225056066454</v>
      </c>
      <c r="AW80" s="61">
        <f>$L$15*Table53[[#This Row],[Locality''s Allocation Percentage ]]</f>
        <v>4319.1567746289247</v>
      </c>
      <c r="AX80" s="61">
        <f>$L$16*Table53[[#This Row],[Locality''s Allocation Percentage ]]</f>
        <v>3955.0152786572448</v>
      </c>
      <c r="AY80" s="61">
        <f>$L$17*Table53[[#This Row],[Locality''s Allocation Percentage ]]</f>
        <v>3087.8074266787262</v>
      </c>
      <c r="AZ80" s="61">
        <f>$L$18*Table53[[#This Row],[Locality''s Allocation Percentage ]]</f>
        <v>3087.8074266787262</v>
      </c>
      <c r="BA80" s="61">
        <f>$L$19*Table53[[#This Row],[Locality''s Allocation Percentage ]]</f>
        <v>3087.8074266787262</v>
      </c>
      <c r="BB80" s="61">
        <f>$L$20*Table53[[#This Row],[Locality''s Allocation Percentage ]]</f>
        <v>2552.1740863703235</v>
      </c>
      <c r="BC80" s="61">
        <f>$L$21*Table53[[#This Row],[Locality''s Allocation Percentage ]]</f>
        <v>2552.1740863703235</v>
      </c>
      <c r="BD80" s="61">
        <f>$L$22*Table53[[#This Row],[Locality''s Allocation Percentage ]]</f>
        <v>1842.0610963904244</v>
      </c>
      <c r="BE80" s="61"/>
      <c r="BF80" s="61">
        <f t="shared" si="70"/>
        <v>0</v>
      </c>
      <c r="BG80" s="61">
        <f t="shared" si="70"/>
        <v>2212.2847513645361</v>
      </c>
      <c r="BH80" s="61">
        <f t="shared" si="40"/>
        <v>2560.8334132548412</v>
      </c>
      <c r="BI80" s="61">
        <f t="shared" si="41"/>
        <v>997.22485096843786</v>
      </c>
      <c r="BJ80" s="61">
        <f t="shared" si="42"/>
        <v>1094.113075358714</v>
      </c>
      <c r="BK80" s="61">
        <f t="shared" si="43"/>
        <v>1165.6157206717019</v>
      </c>
      <c r="BL80" s="61">
        <f t="shared" si="44"/>
        <v>877.28360823188609</v>
      </c>
      <c r="BM80" s="61">
        <f t="shared" si="45"/>
        <v>1247.6531839232687</v>
      </c>
      <c r="BN80" s="61">
        <f t="shared" si="46"/>
        <v>1255.1413607559948</v>
      </c>
      <c r="BO80" s="61">
        <f t="shared" si="47"/>
        <v>1167.3056264016614</v>
      </c>
      <c r="BP80" s="61">
        <f t="shared" si="48"/>
        <v>1079.7891936572312</v>
      </c>
      <c r="BQ80" s="61">
        <f t="shared" si="49"/>
        <v>988.75381966431121</v>
      </c>
      <c r="BR80" s="61">
        <f t="shared" si="50"/>
        <v>771.95185666968155</v>
      </c>
      <c r="BS80" s="61">
        <f t="shared" si="51"/>
        <v>771.95185666968155</v>
      </c>
      <c r="BT80" s="61">
        <f t="shared" si="52"/>
        <v>771.95185666968155</v>
      </c>
      <c r="BU80" s="61">
        <f t="shared" si="53"/>
        <v>638.04352159258087</v>
      </c>
      <c r="BV80" s="61">
        <f t="shared" si="54"/>
        <v>638.04352159258087</v>
      </c>
      <c r="BW80" s="61">
        <f t="shared" si="37"/>
        <v>460.5152740976061</v>
      </c>
      <c r="BX80" s="61"/>
      <c r="BY80" s="61">
        <f>($C$6+$D$6+$E$6)*Table53[[#This Row],[Locality''s Allocation Percentage ]]</f>
        <v>24455.100895996333</v>
      </c>
      <c r="BZ80" s="61">
        <f>$L$6*Table53[[#This Row],[Locality''s Allocation Percentage ]]</f>
        <v>8849.1390054581443</v>
      </c>
      <c r="CA80" s="61">
        <f t="shared" si="71"/>
        <v>2212.2847513645361</v>
      </c>
      <c r="CB80" s="76">
        <f>($C$7+$D$7+$E$7)*Table53[[#This Row],[Locality''s Allocation Percentage ]]</f>
        <v>8819.4603577363287</v>
      </c>
      <c r="CC80" s="76">
        <f>$L$7*Table53[[#This Row],[Locality''s Allocation Percentage ]]</f>
        <v>10243.333653019365</v>
      </c>
      <c r="CD80" s="76">
        <f t="shared" si="72"/>
        <v>2560.8334132548412</v>
      </c>
    </row>
    <row r="81" spans="3:82" s="19" customFormat="1" ht="18" customHeight="1" x14ac:dyDescent="0.25">
      <c r="C81" s="19" t="s">
        <v>371</v>
      </c>
      <c r="D81" s="183">
        <v>66613080.519999996</v>
      </c>
      <c r="E81" s="183">
        <f>D35</f>
        <v>72352183.330898881</v>
      </c>
      <c r="F81" s="183">
        <v>12511027</v>
      </c>
      <c r="G81" s="183">
        <v>7592783.21</v>
      </c>
      <c r="H81" s="53">
        <f>SUM(D81:G81)</f>
        <v>159069074.06089887</v>
      </c>
      <c r="M81" s="35">
        <f>M6-L6</f>
        <v>25741954.047355153</v>
      </c>
      <c r="P81" s="36" t="s">
        <v>146</v>
      </c>
      <c r="Q81" s="37">
        <v>4.9400494004940001E-3</v>
      </c>
      <c r="S81" s="22" t="s">
        <v>146</v>
      </c>
      <c r="T81" s="61">
        <f>($C$5+$D$5+$E$5+$F$5+$G$5+$H$5+$I$5+$J$5+$K$5)*Table53[[#This Row],[Locality''s Allocation Percentage ]]</f>
        <v>20087.768249381526</v>
      </c>
      <c r="U81" s="61">
        <f>($C$6+$D$6+$E$6+$F$6+$G$6+$H$6+$I$6+$J$6+$K$6)*Table53[[#This Row],[Locality''s Allocation Percentage ]]</f>
        <v>127166.52465918094</v>
      </c>
      <c r="V81" s="61">
        <f>($C$7+$D$7+$E$7+$F$7+$G$7+$H$7+$I$7+$J$7+$K$7)*Table53[[#This Row],[Locality''s Allocation Percentage ]]</f>
        <v>156828.86425396363</v>
      </c>
      <c r="W81" s="61">
        <f>($C$8+$D$8+$E$8+$F$8+$G$8+$H$8+$I$8+$J$8+$K$8)*Table53[[#This Row],[Locality''s Allocation Percentage ]]</f>
        <v>60143.522253482093</v>
      </c>
      <c r="X81" s="61">
        <f>($C$9+$D$9+$E$9+$F$9+$G$9+$H$9+$I$9+$J$9+$K$9)*Table53[[#This Row],[Locality''s Allocation Percentage ]]</f>
        <v>64628.101352557824</v>
      </c>
      <c r="Y81" s="61">
        <f>($C$10+$D$10+$E$10+$F$10+$G$10+$H$10+$I$10+$J$10+$K$10)*Table53[[#This Row],[Locality''s Allocation Percentage ]]</f>
        <v>68684.25141394914</v>
      </c>
      <c r="Z81" s="61">
        <f>($C$11+$D$11+$E$11+$F$11+$G$11+$H$11+$I$11+$J$11+$K$11)*Table53[[#This Row],[Locality''s Allocation Percentage ]]</f>
        <v>52327.957035545049</v>
      </c>
      <c r="AA81" s="61">
        <f>($C$12+$D$12+$E$12+$F$12+$G$12+$H$12+$I$12+$J$12+$K$12)*Table53[[#This Row],[Locality''s Allocation Percentage ]]</f>
        <v>73338.012965674381</v>
      </c>
      <c r="AB81" s="61">
        <f>($C$13+$D$13+$E$13+$F$13+$G$13+$H$13+$I$13+$J$13+$K$13)*Table53[[#This Row],[Locality''s Allocation Percentage ]]</f>
        <v>73671.696194655553</v>
      </c>
      <c r="AC81" s="61">
        <f>($C$14+$D$14+$E$14+$F$14+$G$14+$H$14+$I$14+$J$14+$K$14)*Table53[[#This Row],[Locality''s Allocation Percentage ]]</f>
        <v>68978.287570130968</v>
      </c>
      <c r="AD81" s="61">
        <f>($C$15+$D$15+$E$15+$F$15+$G$15+$H$15+$I$15+$J$15+$K$15)*Table53[[#This Row],[Locality''s Allocation Percentage ]]</f>
        <v>64012.273211174281</v>
      </c>
      <c r="AE81" s="61">
        <f>($C$16+$D$16+$E$16+$F$16+$G$16+$H$16+$I$16+$J$16+$K$16)*Table53[[#This Row],[Locality''s Allocation Percentage ]]</f>
        <v>58848.084722848645</v>
      </c>
      <c r="AF81" s="61">
        <f>($C$17+$D$17+$E$17+$F$17+$G$17+$H$17+$I$17+$J$17+$K$17)*Table53[[#This Row],[Locality''s Allocation Percentage ]]</f>
        <v>44909.68942923026</v>
      </c>
      <c r="AG81" s="61">
        <f>($C$18+$D$18+$E$18+$F$18+$G$18+$H$18+$I$18+$J$18+$K$18)*Table53[[#This Row],[Locality''s Allocation Percentage ]]</f>
        <v>44909.68942923026</v>
      </c>
      <c r="AH81" s="61">
        <f>($C$19+$D$19+$E$19+$F$19+$G$19+$H$19+$I$19+$J$19+$K$19)*Table53[[#This Row],[Locality''s Allocation Percentage ]]</f>
        <v>44909.68942923026</v>
      </c>
      <c r="AI81" s="61">
        <f>($C$20+$D$20+$E$20+$F$20+$G$20+$H$20+$I$20+$J$20+$K$20)*Table53[[#This Row],[Locality''s Allocation Percentage ]]</f>
        <v>37313.434784856552</v>
      </c>
      <c r="AJ81" s="61">
        <f>($C$21+$D$21+$E$21+$F$21+$G$21+$H$21+$I$21+$J$21+$K$21)*Table53[[#This Row],[Locality''s Allocation Percentage ]]</f>
        <v>37313.434784856552</v>
      </c>
      <c r="AK81" s="61">
        <f>($C$22+$D$22+$E$22+$F$22+$G$22+$H$22+$I$22+$J$22+$K$22)*Table53[[#This Row],[Locality''s Allocation Percentage ]]</f>
        <v>26123.775548809659</v>
      </c>
      <c r="AL81" s="61"/>
      <c r="AM81" s="61"/>
      <c r="AN81" s="61">
        <f>$L$6*Table53[[#This Row],[Locality''s Allocation Percentage ]]</f>
        <v>46015.52282838236</v>
      </c>
      <c r="AO81" s="61">
        <f>$L$7*Table53[[#This Row],[Locality''s Allocation Percentage ]]</f>
        <v>53265.334995700701</v>
      </c>
      <c r="AP81" s="61">
        <f>$L$8*Table53[[#This Row],[Locality''s Allocation Percentage ]]</f>
        <v>20742.276900143508</v>
      </c>
      <c r="AQ81" s="61">
        <f>$L$9*Table53[[#This Row],[Locality''s Allocation Percentage ]]</f>
        <v>22757.551967461251</v>
      </c>
      <c r="AR81" s="61">
        <f>$L$10*Table53[[#This Row],[Locality''s Allocation Percentage ]]</f>
        <v>24244.806989971399</v>
      </c>
      <c r="AS81" s="61">
        <f>$L$11*Table53[[#This Row],[Locality''s Allocation Percentage ]]</f>
        <v>18247.499051223233</v>
      </c>
      <c r="AT81" s="61">
        <f>$L$12*Table53[[#This Row],[Locality''s Allocation Percentage ]]</f>
        <v>25951.186225603989</v>
      </c>
      <c r="AU81" s="61">
        <f>$L$13*Table53[[#This Row],[Locality''s Allocation Percentage ]]</f>
        <v>26106.940303724692</v>
      </c>
      <c r="AV81" s="61">
        <f>$L$14*Table53[[#This Row],[Locality''s Allocation Percentage ]]</f>
        <v>24279.957029154561</v>
      </c>
      <c r="AW81" s="61">
        <f>$L$15*Table53[[#This Row],[Locality''s Allocation Percentage ]]</f>
        <v>22459.615228070412</v>
      </c>
      <c r="AX81" s="61">
        <f>$L$16*Table53[[#This Row],[Locality''s Allocation Percentage ]]</f>
        <v>20566.079449017674</v>
      </c>
      <c r="AY81" s="61">
        <f>$L$17*Table53[[#This Row],[Locality''s Allocation Percentage ]]</f>
        <v>16056.598618729377</v>
      </c>
      <c r="AZ81" s="61">
        <f>$L$18*Table53[[#This Row],[Locality''s Allocation Percentage ]]</f>
        <v>16056.598618729377</v>
      </c>
      <c r="BA81" s="61">
        <f>$L$19*Table53[[#This Row],[Locality''s Allocation Percentage ]]</f>
        <v>16056.598618729377</v>
      </c>
      <c r="BB81" s="61">
        <f>$L$20*Table53[[#This Row],[Locality''s Allocation Percentage ]]</f>
        <v>13271.305249125684</v>
      </c>
      <c r="BC81" s="61">
        <f>$L$21*Table53[[#This Row],[Locality''s Allocation Percentage ]]</f>
        <v>13271.305249125684</v>
      </c>
      <c r="BD81" s="61">
        <f>$L$22*Table53[[#This Row],[Locality''s Allocation Percentage ]]</f>
        <v>9578.7177012302072</v>
      </c>
      <c r="BE81" s="61"/>
      <c r="BF81" s="61">
        <f t="shared" si="70"/>
        <v>0</v>
      </c>
      <c r="BG81" s="61">
        <f t="shared" si="70"/>
        <v>11503.88070709559</v>
      </c>
      <c r="BH81" s="61">
        <f t="shared" si="40"/>
        <v>13316.333748925175</v>
      </c>
      <c r="BI81" s="61">
        <f t="shared" si="41"/>
        <v>5185.569225035877</v>
      </c>
      <c r="BJ81" s="61">
        <f t="shared" si="42"/>
        <v>5689.3879918653129</v>
      </c>
      <c r="BK81" s="61">
        <f t="shared" si="43"/>
        <v>6061.2017474928498</v>
      </c>
      <c r="BL81" s="61">
        <f t="shared" si="44"/>
        <v>4561.8747628058081</v>
      </c>
      <c r="BM81" s="61">
        <f t="shared" si="45"/>
        <v>6487.7965564009974</v>
      </c>
      <c r="BN81" s="61">
        <f t="shared" si="46"/>
        <v>6526.735075931173</v>
      </c>
      <c r="BO81" s="61">
        <f t="shared" si="47"/>
        <v>6069.9892572886401</v>
      </c>
      <c r="BP81" s="61">
        <f t="shared" si="48"/>
        <v>5614.903807017603</v>
      </c>
      <c r="BQ81" s="61">
        <f t="shared" si="49"/>
        <v>5141.5198622544185</v>
      </c>
      <c r="BR81" s="61">
        <f t="shared" si="50"/>
        <v>4014.1496546823441</v>
      </c>
      <c r="BS81" s="61">
        <f t="shared" si="51"/>
        <v>4014.1496546823441</v>
      </c>
      <c r="BT81" s="61">
        <f t="shared" si="52"/>
        <v>4014.1496546823441</v>
      </c>
      <c r="BU81" s="61">
        <f t="shared" si="53"/>
        <v>3317.826312281421</v>
      </c>
      <c r="BV81" s="61">
        <f t="shared" si="54"/>
        <v>3317.826312281421</v>
      </c>
      <c r="BW81" s="61">
        <f t="shared" si="37"/>
        <v>2394.6794253075518</v>
      </c>
      <c r="BX81" s="61"/>
      <c r="BY81" s="61">
        <f>($C$6+$D$6+$E$6)*Table53[[#This Row],[Locality''s Allocation Percentage ]]</f>
        <v>127166.52465918094</v>
      </c>
      <c r="BZ81" s="61">
        <f>$L$6*Table53[[#This Row],[Locality''s Allocation Percentage ]]</f>
        <v>46015.52282838236</v>
      </c>
      <c r="CA81" s="61">
        <f t="shared" si="71"/>
        <v>11503.88070709559</v>
      </c>
      <c r="CB81" s="76">
        <f>($C$7+$D$7+$E$7)*Table53[[#This Row],[Locality''s Allocation Percentage ]]</f>
        <v>45861.193860228916</v>
      </c>
      <c r="CC81" s="76">
        <f>$L$7*Table53[[#This Row],[Locality''s Allocation Percentage ]]</f>
        <v>53265.334995700701</v>
      </c>
      <c r="CD81" s="76">
        <f t="shared" si="72"/>
        <v>13316.333748925175</v>
      </c>
    </row>
    <row r="82" spans="3:82" s="19" customFormat="1" ht="18" customHeight="1" x14ac:dyDescent="0.25">
      <c r="C82" s="19" t="s">
        <v>372</v>
      </c>
      <c r="D82" s="183">
        <f>E68</f>
        <v>4204431.53</v>
      </c>
      <c r="E82" s="183">
        <v>1362713.3</v>
      </c>
      <c r="F82" s="183" t="s">
        <v>375</v>
      </c>
      <c r="G82" s="183" t="s">
        <v>375</v>
      </c>
      <c r="H82" s="53">
        <f>SUM(D82:G82)</f>
        <v>5567144.8300000001</v>
      </c>
      <c r="M82" s="35">
        <f t="shared" ref="M82:M97" si="73">M7-L7</f>
        <v>31746416.187311996</v>
      </c>
      <c r="P82" s="36" t="s">
        <v>278</v>
      </c>
      <c r="Q82" s="37">
        <v>8.8000880008800002E-4</v>
      </c>
      <c r="S82" s="22" t="s">
        <v>147</v>
      </c>
      <c r="T82" s="61">
        <f>($C$5+$D$5+$E$5+$F$5+$G$5+$H$5+$I$5+$J$5+$K$5)*Table53[[#This Row],[Locality''s Allocation Percentage ]]</f>
        <v>3578.3878662865877</v>
      </c>
      <c r="U82" s="61">
        <f>($C$6+$D$6+$E$6+$F$6+$G$6+$H$6+$I$6+$J$6+$K$6)*Table53[[#This Row],[Locality''s Allocation Percentage ]]</f>
        <v>22653.146093133448</v>
      </c>
      <c r="V82" s="61">
        <f>($C$7+$D$7+$E$7+$F$7+$G$7+$H$7+$I$7+$J$7+$K$7)*Table53[[#This Row],[Locality''s Allocation Percentage ]]</f>
        <v>27937.125616090685</v>
      </c>
      <c r="W82" s="61">
        <f>($C$8+$D$8+$E$8+$F$8+$G$8+$H$8+$I$8+$J$8+$K$8)*Table53[[#This Row],[Locality''s Allocation Percentage ]]</f>
        <v>10713.825826531223</v>
      </c>
      <c r="X82" s="61">
        <f>($C$9+$D$9+$E$9+$F$9+$G$9+$H$9+$I$9+$J$9+$K$9)*Table53[[#This Row],[Locality''s Allocation Percentage ]]</f>
        <v>11512.698216649977</v>
      </c>
      <c r="Y82" s="61">
        <f>($C$10+$D$10+$E$10+$F$10+$G$10+$H$10+$I$10+$J$10+$K$10)*Table53[[#This Row],[Locality''s Allocation Percentage ]]</f>
        <v>12235.251264023327</v>
      </c>
      <c r="Z82" s="61">
        <f>($C$11+$D$11+$E$11+$F$11+$G$11+$H$11+$I$11+$J$11+$K$11)*Table53[[#This Row],[Locality''s Allocation Percentage ]]</f>
        <v>9321.5793909472959</v>
      </c>
      <c r="AA82" s="61">
        <f>($C$12+$D$12+$E$12+$F$12+$G$12+$H$12+$I$12+$J$12+$K$12)*Table53[[#This Row],[Locality''s Allocation Percentage ]]</f>
        <v>13064.261418986529</v>
      </c>
      <c r="AB82" s="61">
        <f>($C$13+$D$13+$E$13+$F$13+$G$13+$H$13+$I$13+$J$13+$K$13)*Table53[[#This Row],[Locality''s Allocation Percentage ]]</f>
        <v>13123.702965849572</v>
      </c>
      <c r="AC82" s="61">
        <f>($C$14+$D$14+$E$14+$F$14+$G$14+$H$14+$I$14+$J$14+$K$14)*Table53[[#This Row],[Locality''s Allocation Percentage ]]</f>
        <v>12287.630174436286</v>
      </c>
      <c r="AD82" s="61">
        <f>($C$15+$D$15+$E$15+$F$15+$G$15+$H$15+$I$15+$J$15+$K$15)*Table53[[#This Row],[Locality''s Allocation Percentage ]]</f>
        <v>11402.99603761809</v>
      </c>
      <c r="AE82" s="61">
        <f>($C$16+$D$16+$E$16+$F$16+$G$16+$H$16+$I$16+$J$16+$K$16)*Table53[[#This Row],[Locality''s Allocation Percentage ]]</f>
        <v>10483.059626742268</v>
      </c>
      <c r="AF82" s="61">
        <f>($C$17+$D$17+$E$17+$F$17+$G$17+$H$17+$I$17+$J$17+$K$17)*Table53[[#This Row],[Locality''s Allocation Percentage ]]</f>
        <v>8000.1066189721923</v>
      </c>
      <c r="AG82" s="61">
        <f>($C$18+$D$18+$E$18+$F$18+$G$18+$H$18+$I$18+$J$18+$K$18)*Table53[[#This Row],[Locality''s Allocation Percentage ]]</f>
        <v>8000.1066189721923</v>
      </c>
      <c r="AH82" s="61">
        <f>($C$19+$D$19+$E$19+$F$19+$G$19+$H$19+$I$19+$J$19+$K$19)*Table53[[#This Row],[Locality''s Allocation Percentage ]]</f>
        <v>8000.1066189721923</v>
      </c>
      <c r="AI82" s="61">
        <f>($C$20+$D$20+$E$20+$F$20+$G$20+$H$20+$I$20+$J$20+$K$20)*Table53[[#This Row],[Locality''s Allocation Percentage ]]</f>
        <v>6646.9276539825432</v>
      </c>
      <c r="AJ82" s="61">
        <f>($C$21+$D$21+$E$21+$F$21+$G$21+$H$21+$I$21+$J$21+$K$21)*Table53[[#This Row],[Locality''s Allocation Percentage ]]</f>
        <v>6646.9276539825432</v>
      </c>
      <c r="AK82" s="61">
        <f>($C$22+$D$22+$E$22+$F$22+$G$22+$H$22+$I$22+$J$22+$K$22)*Table53[[#This Row],[Locality''s Allocation Percentage ]]</f>
        <v>4653.6280329863366</v>
      </c>
      <c r="AL82" s="61"/>
      <c r="AM82" s="61"/>
      <c r="AN82" s="61">
        <f>$L$6*Table53[[#This Row],[Locality''s Allocation Percentage ]]</f>
        <v>8197.0971840033344</v>
      </c>
      <c r="AO82" s="61">
        <f>$L$7*Table53[[#This Row],[Locality''s Allocation Percentage ]]</f>
        <v>9488.5616996389908</v>
      </c>
      <c r="AP82" s="61">
        <f>$L$8*Table53[[#This Row],[Locality''s Allocation Percentage ]]</f>
        <v>3694.9805004304226</v>
      </c>
      <c r="AQ82" s="61">
        <f>$L$9*Table53[[#This Row],[Locality''s Allocation Percentage ]]</f>
        <v>4053.9768686975513</v>
      </c>
      <c r="AR82" s="61">
        <f>$L$10*Table53[[#This Row],[Locality''s Allocation Percentage ]]</f>
        <v>4318.9129860677795</v>
      </c>
      <c r="AS82" s="61">
        <f>$L$11*Table53[[#This Row],[Locality''s Allocation Percentage ]]</f>
        <v>3250.566632606568</v>
      </c>
      <c r="AT82" s="61">
        <f>$L$12*Table53[[#This Row],[Locality''s Allocation Percentage ]]</f>
        <v>4622.8833762209533</v>
      </c>
      <c r="AU82" s="61">
        <f>$L$13*Table53[[#This Row],[Locality''s Allocation Percentage ]]</f>
        <v>4650.629041959055</v>
      </c>
      <c r="AV82" s="61">
        <f>$L$14*Table53[[#This Row],[Locality''s Allocation Percentage ]]</f>
        <v>4325.174531509314</v>
      </c>
      <c r="AW82" s="61">
        <f>$L$15*Table53[[#This Row],[Locality''s Allocation Percentage ]]</f>
        <v>4000.9031175510045</v>
      </c>
      <c r="AX82" s="61">
        <f>$L$16*Table53[[#This Row],[Locality''s Allocation Percentage ]]</f>
        <v>3663.5931002298694</v>
      </c>
      <c r="AY82" s="61">
        <f>$L$17*Table53[[#This Row],[Locality''s Allocation Percentage ]]</f>
        <v>2860.2847741866094</v>
      </c>
      <c r="AZ82" s="61">
        <f>$L$18*Table53[[#This Row],[Locality''s Allocation Percentage ]]</f>
        <v>2860.2847741866094</v>
      </c>
      <c r="BA82" s="61">
        <f>$L$19*Table53[[#This Row],[Locality''s Allocation Percentage ]]</f>
        <v>2860.2847741866094</v>
      </c>
      <c r="BB82" s="61">
        <f>$L$20*Table53[[#This Row],[Locality''s Allocation Percentage ]]</f>
        <v>2364.1191536904053</v>
      </c>
      <c r="BC82" s="61">
        <f>$L$21*Table53[[#This Row],[Locality''s Allocation Percentage ]]</f>
        <v>2364.1191536904053</v>
      </c>
      <c r="BD82" s="61">
        <f>$L$22*Table53[[#This Row],[Locality''s Allocation Percentage ]]</f>
        <v>1706.3302787616565</v>
      </c>
      <c r="BE82" s="61"/>
      <c r="BF82" s="61">
        <f t="shared" si="70"/>
        <v>0</v>
      </c>
      <c r="BG82" s="61">
        <f t="shared" si="70"/>
        <v>2049.2742960008336</v>
      </c>
      <c r="BH82" s="61">
        <f t="shared" si="40"/>
        <v>2372.1404249097477</v>
      </c>
      <c r="BI82" s="61">
        <f t="shared" si="41"/>
        <v>923.74512510760565</v>
      </c>
      <c r="BJ82" s="61">
        <f t="shared" si="42"/>
        <v>1013.4942171743878</v>
      </c>
      <c r="BK82" s="61">
        <f t="shared" si="43"/>
        <v>1079.7282465169449</v>
      </c>
      <c r="BL82" s="61">
        <f t="shared" si="44"/>
        <v>812.64165815164199</v>
      </c>
      <c r="BM82" s="61">
        <f t="shared" si="45"/>
        <v>1155.7208440552383</v>
      </c>
      <c r="BN82" s="61">
        <f t="shared" si="46"/>
        <v>1162.6572604897638</v>
      </c>
      <c r="BO82" s="61">
        <f t="shared" si="47"/>
        <v>1081.2936328773285</v>
      </c>
      <c r="BP82" s="61">
        <f t="shared" si="48"/>
        <v>1000.2257793877511</v>
      </c>
      <c r="BQ82" s="61">
        <f t="shared" si="49"/>
        <v>915.89827505746734</v>
      </c>
      <c r="BR82" s="61">
        <f t="shared" si="50"/>
        <v>715.07119354665235</v>
      </c>
      <c r="BS82" s="61">
        <f t="shared" si="51"/>
        <v>715.07119354665235</v>
      </c>
      <c r="BT82" s="61">
        <f t="shared" si="52"/>
        <v>715.07119354665235</v>
      </c>
      <c r="BU82" s="61">
        <f t="shared" si="53"/>
        <v>591.02978842260131</v>
      </c>
      <c r="BV82" s="61">
        <f t="shared" si="54"/>
        <v>591.02978842260131</v>
      </c>
      <c r="BW82" s="61">
        <f t="shared" si="37"/>
        <v>426.58256969041412</v>
      </c>
      <c r="BX82" s="61"/>
      <c r="BY82" s="61">
        <f>($C$6+$D$6+$E$6)*Table53[[#This Row],[Locality''s Allocation Percentage ]]</f>
        <v>22653.146093133448</v>
      </c>
      <c r="BZ82" s="61">
        <f>$L$6*Table53[[#This Row],[Locality''s Allocation Percentage ]]</f>
        <v>8197.0971840033344</v>
      </c>
      <c r="CA82" s="61">
        <f t="shared" si="71"/>
        <v>2049.2742960008336</v>
      </c>
      <c r="CB82" s="76">
        <f>($C$7+$D$7+$E$7)*Table53[[#This Row],[Locality''s Allocation Percentage ]]</f>
        <v>8169.6053840083896</v>
      </c>
      <c r="CC82" s="76">
        <f>$L$7*Table53[[#This Row],[Locality''s Allocation Percentage ]]</f>
        <v>9488.5616996389908</v>
      </c>
      <c r="CD82" s="76">
        <f t="shared" si="72"/>
        <v>2372.1404249097477</v>
      </c>
    </row>
    <row r="83" spans="3:82" s="19" customFormat="1" ht="18" customHeight="1" x14ac:dyDescent="0.25">
      <c r="C83" s="132" t="s">
        <v>26</v>
      </c>
      <c r="D83" s="184">
        <f>SUM(D81:D82)</f>
        <v>70817512.049999997</v>
      </c>
      <c r="E83" s="184">
        <f>SUM(E81:E82)</f>
        <v>73714896.630898878</v>
      </c>
      <c r="F83" s="184">
        <f>SUM(F81:F82)</f>
        <v>12511027</v>
      </c>
      <c r="G83" s="184">
        <f>SUM(G81:G82)</f>
        <v>7592783.21</v>
      </c>
      <c r="H83" s="156">
        <f>SUM(D83:G83)</f>
        <v>164636218.89089888</v>
      </c>
      <c r="M83" s="35">
        <f t="shared" si="73"/>
        <v>12174680.327582918</v>
      </c>
      <c r="P83" s="36" t="s">
        <v>279</v>
      </c>
      <c r="Q83" s="37">
        <v>3.4400344003439999E-3</v>
      </c>
      <c r="S83" s="22" t="s">
        <v>148</v>
      </c>
      <c r="T83" s="61">
        <f>($C$5+$D$5+$E$5+$F$5+$G$5+$H$5+$I$5+$J$5+$K$5)*Table53[[#This Row],[Locality''s Allocation Percentage ]]</f>
        <v>13988.243477302116</v>
      </c>
      <c r="U83" s="61">
        <f>($C$6+$D$6+$E$6+$F$6+$G$6+$H$6+$I$6+$J$6+$K$6)*Table53[[#This Row],[Locality''s Allocation Percentage ]]</f>
        <v>88553.207454976204</v>
      </c>
      <c r="V83" s="61">
        <f>($C$7+$D$7+$E$7+$F$7+$G$7+$H$7+$I$7+$J$7+$K$7)*Table53[[#This Row],[Locality''s Allocation Percentage ]]</f>
        <v>109208.76377199087</v>
      </c>
      <c r="W83" s="61">
        <f>($C$8+$D$8+$E$8+$F$8+$G$8+$H$8+$I$8+$J$8+$K$8)*Table53[[#This Row],[Locality''s Allocation Percentage ]]</f>
        <v>41881.319140076594</v>
      </c>
      <c r="X83" s="61">
        <f>($C$9+$D$9+$E$9+$F$9+$G$9+$H$9+$I$9+$J$9+$K$9)*Table53[[#This Row],[Locality''s Allocation Percentage ]]</f>
        <v>45004.183937813548</v>
      </c>
      <c r="Y83" s="61">
        <f>($C$10+$D$10+$E$10+$F$10+$G$10+$H$10+$I$10+$J$10+$K$10)*Table53[[#This Row],[Locality''s Allocation Percentage ]]</f>
        <v>47828.709486636639</v>
      </c>
      <c r="Z83" s="61">
        <f>($C$11+$D$11+$E$11+$F$11+$G$11+$H$11+$I$11+$J$11+$K$11)*Table53[[#This Row],[Locality''s Allocation Percentage ]]</f>
        <v>36438.901255521247</v>
      </c>
      <c r="AA83" s="61">
        <f>($C$12+$D$12+$E$12+$F$12+$G$12+$H$12+$I$12+$J$12+$K$12)*Table53[[#This Row],[Locality''s Allocation Percentage ]]</f>
        <v>51069.385546947342</v>
      </c>
      <c r="AB83" s="61">
        <f>($C$13+$D$13+$E$13+$F$13+$G$13+$H$13+$I$13+$J$13+$K$13)*Table53[[#This Row],[Locality''s Allocation Percentage ]]</f>
        <v>51301.747957411964</v>
      </c>
      <c r="AC83" s="61">
        <f>($C$14+$D$14+$E$14+$F$14+$G$14+$H$14+$I$14+$J$14+$K$14)*Table53[[#This Row],[Locality''s Allocation Percentage ]]</f>
        <v>48033.463409160024</v>
      </c>
      <c r="AD83" s="61">
        <f>($C$15+$D$15+$E$15+$F$15+$G$15+$H$15+$I$15+$J$15+$K$15)*Table53[[#This Row],[Locality''s Allocation Percentage ]]</f>
        <v>44575.348147052529</v>
      </c>
      <c r="AE83" s="61">
        <f>($C$16+$D$16+$E$16+$F$16+$G$16+$H$16+$I$16+$J$16+$K$16)*Table53[[#This Row],[Locality''s Allocation Percentage ]]</f>
        <v>40979.233086356136</v>
      </c>
      <c r="AF83" s="61">
        <f>($C$17+$D$17+$E$17+$F$17+$G$17+$H$17+$I$17+$J$17+$K$17)*Table53[[#This Row],[Locality''s Allocation Percentage ]]</f>
        <v>31273.144055982204</v>
      </c>
      <c r="AG83" s="61">
        <f>($C$18+$D$18+$E$18+$F$18+$G$18+$H$18+$I$18+$J$18+$K$18)*Table53[[#This Row],[Locality''s Allocation Percentage ]]</f>
        <v>31273.144055982204</v>
      </c>
      <c r="AH83" s="61">
        <f>($C$19+$D$19+$E$19+$F$19+$G$19+$H$19+$I$19+$J$19+$K$19)*Table53[[#This Row],[Locality''s Allocation Percentage ]]</f>
        <v>31273.144055982204</v>
      </c>
      <c r="AI83" s="61">
        <f>($C$20+$D$20+$E$20+$F$20+$G$20+$H$20+$I$20+$J$20+$K$20)*Table53[[#This Row],[Locality''s Allocation Percentage ]]</f>
        <v>25983.444465568125</v>
      </c>
      <c r="AJ83" s="61">
        <f>($C$21+$D$21+$E$21+$F$21+$G$21+$H$21+$I$21+$J$21+$K$21)*Table53[[#This Row],[Locality''s Allocation Percentage ]]</f>
        <v>25983.444465568125</v>
      </c>
      <c r="AK83" s="61">
        <f>($C$22+$D$22+$E$22+$F$22+$G$22+$H$22+$I$22+$J$22+$K$22)*Table53[[#This Row],[Locality''s Allocation Percentage ]]</f>
        <v>18191.455038037497</v>
      </c>
      <c r="AL83" s="61"/>
      <c r="AM83" s="61"/>
      <c r="AN83" s="61">
        <f>$L$6*Table53[[#This Row],[Locality''s Allocation Percentage ]]</f>
        <v>32043.198082922128</v>
      </c>
      <c r="AO83" s="61">
        <f>$L$7*Table53[[#This Row],[Locality''s Allocation Percentage ]]</f>
        <v>37091.650280406961</v>
      </c>
      <c r="AP83" s="61">
        <f>$L$8*Table53[[#This Row],[Locality''s Allocation Percentage ]]</f>
        <v>14444.014683500744</v>
      </c>
      <c r="AQ83" s="61">
        <f>$L$9*Table53[[#This Row],[Locality''s Allocation Percentage ]]</f>
        <v>15847.364123090427</v>
      </c>
      <c r="AR83" s="61">
        <f>$L$10*Table53[[#This Row],[Locality''s Allocation Percentage ]]</f>
        <v>16883.023490992229</v>
      </c>
      <c r="AS83" s="61">
        <f>$L$11*Table53[[#This Row],[Locality''s Allocation Percentage ]]</f>
        <v>12706.760472916583</v>
      </c>
      <c r="AT83" s="61">
        <f>$L$12*Table53[[#This Row],[Locality''s Allocation Percentage ]]</f>
        <v>18071.271379772817</v>
      </c>
      <c r="AU83" s="61">
        <f>$L$13*Table53[[#This Row],[Locality''s Allocation Percentage ]]</f>
        <v>18179.731709476306</v>
      </c>
      <c r="AV83" s="61">
        <f>$L$14*Table53[[#This Row],[Locality''s Allocation Percentage ]]</f>
        <v>16907.50044135459</v>
      </c>
      <c r="AW83" s="61">
        <f>$L$15*Table53[[#This Row],[Locality''s Allocation Percentage ]]</f>
        <v>15639.894004972108</v>
      </c>
      <c r="AX83" s="61">
        <f>$L$16*Table53[[#This Row],[Locality''s Allocation Percentage ]]</f>
        <v>14321.318482716761</v>
      </c>
      <c r="AY83" s="61">
        <f>$L$17*Table53[[#This Row],[Locality''s Allocation Percentage ]]</f>
        <v>11181.113208184019</v>
      </c>
      <c r="AZ83" s="61">
        <f>$L$18*Table53[[#This Row],[Locality''s Allocation Percentage ]]</f>
        <v>11181.113208184019</v>
      </c>
      <c r="BA83" s="61">
        <f>$L$19*Table53[[#This Row],[Locality''s Allocation Percentage ]]</f>
        <v>11181.113208184019</v>
      </c>
      <c r="BB83" s="61">
        <f>$L$20*Table53[[#This Row],[Locality''s Allocation Percentage ]]</f>
        <v>9241.5566916988573</v>
      </c>
      <c r="BC83" s="61">
        <f>$L$21*Table53[[#This Row],[Locality''s Allocation Percentage ]]</f>
        <v>9241.5566916988573</v>
      </c>
      <c r="BD83" s="61">
        <f>$L$22*Table53[[#This Row],[Locality''s Allocation Percentage ]]</f>
        <v>6670.2001806137478</v>
      </c>
      <c r="BE83" s="61"/>
      <c r="BF83" s="61">
        <f t="shared" si="70"/>
        <v>0</v>
      </c>
      <c r="BG83" s="61">
        <f t="shared" si="70"/>
        <v>8010.7995207305321</v>
      </c>
      <c r="BH83" s="61">
        <f t="shared" si="40"/>
        <v>9272.9125701017401</v>
      </c>
      <c r="BI83" s="61">
        <f t="shared" si="41"/>
        <v>3611.0036708751859</v>
      </c>
      <c r="BJ83" s="61">
        <f t="shared" si="42"/>
        <v>3961.8410307726067</v>
      </c>
      <c r="BK83" s="61">
        <f t="shared" si="43"/>
        <v>4220.7558727480573</v>
      </c>
      <c r="BL83" s="61">
        <f t="shared" si="44"/>
        <v>3176.6901182291458</v>
      </c>
      <c r="BM83" s="61">
        <f t="shared" si="45"/>
        <v>4517.8178449432044</v>
      </c>
      <c r="BN83" s="61">
        <f t="shared" si="46"/>
        <v>4544.9329273690764</v>
      </c>
      <c r="BO83" s="61">
        <f t="shared" si="47"/>
        <v>4226.8751103386476</v>
      </c>
      <c r="BP83" s="61">
        <f t="shared" si="48"/>
        <v>3909.9735012430269</v>
      </c>
      <c r="BQ83" s="61">
        <f t="shared" si="49"/>
        <v>3580.3296206791902</v>
      </c>
      <c r="BR83" s="61">
        <f t="shared" si="50"/>
        <v>2795.2783020460047</v>
      </c>
      <c r="BS83" s="61">
        <f t="shared" si="51"/>
        <v>2795.2783020460047</v>
      </c>
      <c r="BT83" s="61">
        <f t="shared" si="52"/>
        <v>2795.2783020460047</v>
      </c>
      <c r="BU83" s="61">
        <f t="shared" si="53"/>
        <v>2310.3891729247143</v>
      </c>
      <c r="BV83" s="61">
        <f t="shared" si="54"/>
        <v>2310.3891729247143</v>
      </c>
      <c r="BW83" s="61">
        <f t="shared" ref="BW83:BW136" si="74">BD83*0.25</f>
        <v>1667.5500451534369</v>
      </c>
      <c r="BX83" s="61"/>
      <c r="BY83" s="61">
        <f>($C$6+$D$6+$E$6)*Table53[[#This Row],[Locality''s Allocation Percentage ]]</f>
        <v>88553.207454976204</v>
      </c>
      <c r="BZ83" s="61">
        <f>$L$6*Table53[[#This Row],[Locality''s Allocation Percentage ]]</f>
        <v>32043.198082922128</v>
      </c>
      <c r="CA83" s="61">
        <f t="shared" si="71"/>
        <v>8010.7995207305321</v>
      </c>
      <c r="CB83" s="76">
        <f>($C$7+$D$7+$E$7)*Table53[[#This Row],[Locality''s Allocation Percentage ]]</f>
        <v>31935.730137487342</v>
      </c>
      <c r="CC83" s="76">
        <f>$L$7*Table53[[#This Row],[Locality''s Allocation Percentage ]]</f>
        <v>37091.650280406961</v>
      </c>
      <c r="CD83" s="76">
        <f t="shared" si="72"/>
        <v>9272.9125701017401</v>
      </c>
    </row>
    <row r="84" spans="3:82" s="19" customFormat="1" ht="18" customHeight="1" x14ac:dyDescent="0.25">
      <c r="M84" s="35">
        <f t="shared" si="73"/>
        <v>13082480.783713434</v>
      </c>
      <c r="P84" s="36" t="s">
        <v>280</v>
      </c>
      <c r="Q84" s="37">
        <v>1.080010800108E-3</v>
      </c>
      <c r="S84" s="22" t="s">
        <v>149</v>
      </c>
      <c r="T84" s="61">
        <f>($C$5+$D$5+$E$5+$F$5+$G$5+$H$5+$I$5+$J$5+$K$5)*Table53[[#This Row],[Locality''s Allocation Percentage ]]</f>
        <v>4391.6578358971756</v>
      </c>
      <c r="U84" s="61">
        <f>($C$6+$D$6+$E$6+$F$6+$G$6+$H$6+$I$6+$J$6+$K$6)*Table53[[#This Row],[Locality''s Allocation Percentage ]]</f>
        <v>27801.588387027412</v>
      </c>
      <c r="V84" s="61">
        <f>($C$7+$D$7+$E$7+$F$7+$G$7+$H$7+$I$7+$J$7+$K$7)*Table53[[#This Row],[Locality''s Allocation Percentage ]]</f>
        <v>34286.47234702039</v>
      </c>
      <c r="W84" s="61">
        <f>($C$8+$D$8+$E$8+$F$8+$G$8+$H$8+$I$8+$J$8+$K$8)*Table53[[#This Row],[Locality''s Allocation Percentage ]]</f>
        <v>13148.786241651955</v>
      </c>
      <c r="X84" s="61">
        <f>($C$9+$D$9+$E$9+$F$9+$G$9+$H$9+$I$9+$J$9+$K$9)*Table53[[#This Row],[Locality''s Allocation Percentage ]]</f>
        <v>14129.22053861588</v>
      </c>
      <c r="Y84" s="61">
        <f>($C$10+$D$10+$E$10+$F$10+$G$10+$H$10+$I$10+$J$10+$K$10)*Table53[[#This Row],[Locality''s Allocation Percentage ]]</f>
        <v>15015.990187664993</v>
      </c>
      <c r="Z84" s="61">
        <f>($C$11+$D$11+$E$11+$F$11+$G$11+$H$11+$I$11+$J$11+$K$11)*Table53[[#This Row],[Locality''s Allocation Percentage ]]</f>
        <v>11440.120161617137</v>
      </c>
      <c r="AA84" s="61">
        <f>($C$12+$D$12+$E$12+$F$12+$G$12+$H$12+$I$12+$J$12+$K$12)*Table53[[#This Row],[Locality''s Allocation Percentage ]]</f>
        <v>16033.411741483467</v>
      </c>
      <c r="AB84" s="61">
        <f>($C$13+$D$13+$E$13+$F$13+$G$13+$H$13+$I$13+$J$13+$K$13)*Table53[[#This Row],[Locality''s Allocation Percentage ]]</f>
        <v>16106.362730815383</v>
      </c>
      <c r="AC84" s="61">
        <f>($C$14+$D$14+$E$14+$F$14+$G$14+$H$14+$I$14+$J$14+$K$14)*Table53[[#This Row],[Locality''s Allocation Percentage ]]</f>
        <v>15080.273395899078</v>
      </c>
      <c r="AD84" s="61">
        <f>($C$15+$D$15+$E$15+$F$15+$G$15+$H$15+$I$15+$J$15+$K$15)*Table53[[#This Row],[Locality''s Allocation Percentage ]]</f>
        <v>13994.586046167655</v>
      </c>
      <c r="AE84" s="61">
        <f>($C$16+$D$16+$E$16+$F$16+$G$16+$H$16+$I$16+$J$16+$K$16)*Table53[[#This Row],[Locality''s Allocation Percentage ]]</f>
        <v>12865.573178274601</v>
      </c>
      <c r="AF84" s="61">
        <f>($C$17+$D$17+$E$17+$F$17+$G$17+$H$17+$I$17+$J$17+$K$17)*Table53[[#This Row],[Locality''s Allocation Percentage ]]</f>
        <v>9818.3126687385993</v>
      </c>
      <c r="AG84" s="61">
        <f>($C$18+$D$18+$E$18+$F$18+$G$18+$H$18+$I$18+$J$18+$K$18)*Table53[[#This Row],[Locality''s Allocation Percentage ]]</f>
        <v>9818.3126687385993</v>
      </c>
      <c r="AH84" s="61">
        <f>($C$19+$D$19+$E$19+$F$19+$G$19+$H$19+$I$19+$J$19+$K$19)*Table53[[#This Row],[Locality''s Allocation Percentage ]]</f>
        <v>9818.3126687385993</v>
      </c>
      <c r="AI84" s="61">
        <f>($C$20+$D$20+$E$20+$F$20+$G$20+$H$20+$I$20+$J$20+$K$20)*Table53[[#This Row],[Locality''s Allocation Percentage ]]</f>
        <v>8157.5930298876665</v>
      </c>
      <c r="AJ84" s="61">
        <f>($C$21+$D$21+$E$21+$F$21+$G$21+$H$21+$I$21+$J$21+$K$21)*Table53[[#This Row],[Locality''s Allocation Percentage ]]</f>
        <v>8157.5930298876665</v>
      </c>
      <c r="AK84" s="61">
        <f>($C$22+$D$22+$E$22+$F$22+$G$22+$H$22+$I$22+$J$22+$K$22)*Table53[[#This Row],[Locality''s Allocation Percentage ]]</f>
        <v>5711.2707677559583</v>
      </c>
      <c r="AL84" s="61"/>
      <c r="AM84" s="61"/>
      <c r="AN84" s="61">
        <f>$L$6*Table53[[#This Row],[Locality''s Allocation Percentage ]]</f>
        <v>10060.073816731365</v>
      </c>
      <c r="AO84" s="61">
        <f>$L$7*Table53[[#This Row],[Locality''s Allocation Percentage ]]</f>
        <v>11645.052995011489</v>
      </c>
      <c r="AP84" s="61">
        <f>$L$8*Table53[[#This Row],[Locality''s Allocation Percentage ]]</f>
        <v>4534.7487959827913</v>
      </c>
      <c r="AQ84" s="61">
        <f>$L$9*Table53[[#This Row],[Locality''s Allocation Percentage ]]</f>
        <v>4975.3352479469941</v>
      </c>
      <c r="AR84" s="61">
        <f>$L$10*Table53[[#This Row],[Locality''s Allocation Percentage ]]</f>
        <v>5300.4841192650019</v>
      </c>
      <c r="AS84" s="61">
        <f>$L$11*Table53[[#This Row],[Locality''s Allocation Percentage ]]</f>
        <v>3989.3317763807877</v>
      </c>
      <c r="AT84" s="61">
        <f>$L$12*Table53[[#This Row],[Locality''s Allocation Percentage ]]</f>
        <v>5673.5386889984429</v>
      </c>
      <c r="AU84" s="61">
        <f>$L$13*Table53[[#This Row],[Locality''s Allocation Percentage ]]</f>
        <v>5707.5901878588393</v>
      </c>
      <c r="AV84" s="61">
        <f>$L$14*Table53[[#This Row],[Locality''s Allocation Percentage ]]</f>
        <v>5308.1687432159761</v>
      </c>
      <c r="AW84" s="61">
        <f>$L$15*Table53[[#This Row],[Locality''s Allocation Percentage ]]</f>
        <v>4910.199280630778</v>
      </c>
      <c r="AX84" s="61">
        <f>$L$16*Table53[[#This Row],[Locality''s Allocation Percentage ]]</f>
        <v>4496.227895736658</v>
      </c>
      <c r="AY84" s="61">
        <f>$L$17*Table53[[#This Row],[Locality''s Allocation Percentage ]]</f>
        <v>3510.3494955926571</v>
      </c>
      <c r="AZ84" s="61">
        <f>$L$18*Table53[[#This Row],[Locality''s Allocation Percentage ]]</f>
        <v>3510.3494955926571</v>
      </c>
      <c r="BA84" s="61">
        <f>$L$19*Table53[[#This Row],[Locality''s Allocation Percentage ]]</f>
        <v>3510.3494955926571</v>
      </c>
      <c r="BB84" s="61">
        <f>$L$20*Table53[[#This Row],[Locality''s Allocation Percentage ]]</f>
        <v>2901.4189613473154</v>
      </c>
      <c r="BC84" s="61">
        <f>$L$21*Table53[[#This Row],[Locality''s Allocation Percentage ]]</f>
        <v>2901.4189613473154</v>
      </c>
      <c r="BD84" s="61">
        <f>$L$22*Table53[[#This Row],[Locality''s Allocation Percentage ]]</f>
        <v>2094.1326148438511</v>
      </c>
      <c r="BE84" s="61"/>
      <c r="BF84" s="61">
        <f t="shared" si="70"/>
        <v>0</v>
      </c>
      <c r="BG84" s="61">
        <f t="shared" si="70"/>
        <v>2515.0184541828412</v>
      </c>
      <c r="BH84" s="61">
        <f t="shared" ref="BH84:BH136" si="75">AO84*0.25</f>
        <v>2911.2632487528722</v>
      </c>
      <c r="BI84" s="61">
        <f t="shared" ref="BI84:BI136" si="76">AP84*0.25</f>
        <v>1133.6871989956978</v>
      </c>
      <c r="BJ84" s="61">
        <f t="shared" ref="BJ84:BJ136" si="77">AQ84*0.25</f>
        <v>1243.8338119867485</v>
      </c>
      <c r="BK84" s="61">
        <f t="shared" ref="BK84:BK136" si="78">AR84*0.25</f>
        <v>1325.1210298162505</v>
      </c>
      <c r="BL84" s="61">
        <f t="shared" ref="BL84:BL136" si="79">AS84*0.25</f>
        <v>997.33294409519692</v>
      </c>
      <c r="BM84" s="61">
        <f t="shared" ref="BM84:BM136" si="80">AT84*0.25</f>
        <v>1418.3846722496107</v>
      </c>
      <c r="BN84" s="61">
        <f t="shared" ref="BN84:BN136" si="81">AU84*0.25</f>
        <v>1426.8975469647098</v>
      </c>
      <c r="BO84" s="61">
        <f t="shared" ref="BO84:BO136" si="82">AV84*0.25</f>
        <v>1327.042185803994</v>
      </c>
      <c r="BP84" s="61">
        <f t="shared" ref="BP84:BP136" si="83">AW84*0.25</f>
        <v>1227.5498201576945</v>
      </c>
      <c r="BQ84" s="61">
        <f t="shared" ref="BQ84:BQ136" si="84">AX84*0.25</f>
        <v>1124.0569739341645</v>
      </c>
      <c r="BR84" s="61">
        <f t="shared" ref="BR84:BR136" si="85">AY84*0.25</f>
        <v>877.58737389816429</v>
      </c>
      <c r="BS84" s="61">
        <f t="shared" ref="BS84:BS136" si="86">AZ84*0.25</f>
        <v>877.58737389816429</v>
      </c>
      <c r="BT84" s="61">
        <f t="shared" ref="BT84:BT136" si="87">BA84*0.25</f>
        <v>877.58737389816429</v>
      </c>
      <c r="BU84" s="61">
        <f t="shared" ref="BU84:BU136" si="88">BB84*0.25</f>
        <v>725.35474033682885</v>
      </c>
      <c r="BV84" s="61">
        <f t="shared" ref="BV84:BV136" si="89">BC84*0.25</f>
        <v>725.35474033682885</v>
      </c>
      <c r="BW84" s="61">
        <f t="shared" si="74"/>
        <v>523.53315371096278</v>
      </c>
      <c r="BX84" s="61"/>
      <c r="BY84" s="61">
        <f>($C$6+$D$6+$E$6)*Table53[[#This Row],[Locality''s Allocation Percentage ]]</f>
        <v>27801.588387027412</v>
      </c>
      <c r="BZ84" s="61">
        <f>$L$6*Table53[[#This Row],[Locality''s Allocation Percentage ]]</f>
        <v>10060.073816731365</v>
      </c>
      <c r="CA84" s="61">
        <f t="shared" si="71"/>
        <v>2515.0184541828412</v>
      </c>
      <c r="CB84" s="76">
        <f>($C$7+$D$7+$E$7)*Table53[[#This Row],[Locality''s Allocation Percentage ]]</f>
        <v>10026.333880373933</v>
      </c>
      <c r="CC84" s="76">
        <f>$L$7*Table53[[#This Row],[Locality''s Allocation Percentage ]]</f>
        <v>11645.052995011489</v>
      </c>
      <c r="CD84" s="76">
        <f t="shared" si="72"/>
        <v>2911.2632487528722</v>
      </c>
    </row>
    <row r="85" spans="3:82" s="19" customFormat="1" ht="18" customHeight="1" x14ac:dyDescent="0.25">
      <c r="C85" s="19" t="s">
        <v>378</v>
      </c>
      <c r="D85" s="53">
        <v>66613080.520000003</v>
      </c>
      <c r="E85" s="23">
        <f>71249354.23+812610.87+754567.24</f>
        <v>72816532.340000004</v>
      </c>
      <c r="H85" s="53"/>
      <c r="M85" s="35">
        <f t="shared" si="73"/>
        <v>13903555.581262158</v>
      </c>
      <c r="P85" s="36" t="s">
        <v>281</v>
      </c>
      <c r="Q85" s="37">
        <v>1.2050120501205E-2</v>
      </c>
      <c r="S85" s="22" t="s">
        <v>150</v>
      </c>
      <c r="T85" s="61">
        <f>($C$5+$D$5+$E$5+$F$5+$G$5+$H$5+$I$5+$J$5+$K$5)*Table53[[#This Row],[Locality''s Allocation Percentage ]]</f>
        <v>48999.515669037937</v>
      </c>
      <c r="U85" s="61">
        <f>($C$6+$D$6+$E$6+$F$6+$G$6+$H$6+$I$6+$J$6+$K$6)*Table53[[#This Row],[Locality''s Allocation Percentage ]]</f>
        <v>310193.6482071114</v>
      </c>
      <c r="V85" s="61">
        <f>($C$7+$D$7+$E$7+$F$7+$G$7+$H$7+$I$7+$J$7+$K$7)*Table53[[#This Row],[Locality''s Allocation Percentage ]]</f>
        <v>382548.14053851453</v>
      </c>
      <c r="W85" s="61">
        <f>($C$8+$D$8+$E$8+$F$8+$G$8+$H$8+$I$8+$J$8+$K$8)*Table53[[#This Row],[Locality''s Allocation Percentage ]]</f>
        <v>146706.36501102414</v>
      </c>
      <c r="X85" s="61">
        <f>($C$9+$D$9+$E$9+$F$9+$G$9+$H$9+$I$9+$J$9+$K$9)*Table53[[#This Row],[Locality''s Allocation Percentage ]]</f>
        <v>157645.46989844571</v>
      </c>
      <c r="Y85" s="61">
        <f>($C$10+$D$10+$E$10+$F$10+$G$10+$H$10+$I$10+$J$10+$K$10)*Table53[[#This Row],[Locality''s Allocation Percentage ]]</f>
        <v>167539.52014941032</v>
      </c>
      <c r="Z85" s="61">
        <f>($C$11+$D$11+$E$11+$F$11+$G$11+$H$11+$I$11+$J$11+$K$11)*Table53[[#This Row],[Locality''s Allocation Percentage ]]</f>
        <v>127642.08143285786</v>
      </c>
      <c r="AA85" s="61">
        <f>($C$12+$D$12+$E$12+$F$12+$G$12+$H$12+$I$12+$J$12+$K$12)*Table53[[#This Row],[Locality''s Allocation Percentage ]]</f>
        <v>178891.30693044054</v>
      </c>
      <c r="AB85" s="61">
        <f>($C$13+$D$13+$E$13+$F$13+$G$13+$H$13+$I$13+$J$13+$K$13)*Table53[[#This Row],[Locality''s Allocation Percentage ]]</f>
        <v>179705.25083919018</v>
      </c>
      <c r="AC85" s="61">
        <f>($C$14+$D$14+$E$14+$F$14+$G$14+$H$14+$I$14+$J$14+$K$14)*Table53[[#This Row],[Locality''s Allocation Percentage ]]</f>
        <v>168256.75409313323</v>
      </c>
      <c r="AD85" s="61">
        <f>($C$15+$D$15+$E$15+$F$15+$G$15+$H$15+$I$15+$J$15+$K$15)*Table53[[#This Row],[Locality''s Allocation Percentage ]]</f>
        <v>156143.29801511136</v>
      </c>
      <c r="AE85" s="61">
        <f>($C$16+$D$16+$E$16+$F$16+$G$16+$H$16+$I$16+$J$16+$K$16)*Table53[[#This Row],[Locality''s Allocation Percentage ]]</f>
        <v>143546.44147982312</v>
      </c>
      <c r="AF85" s="61">
        <f>($C$17+$D$17+$E$17+$F$17+$G$17+$H$17+$I$17+$J$17+$K$17)*Table53[[#This Row],[Locality''s Allocation Percentage ]]</f>
        <v>109546.91449842603</v>
      </c>
      <c r="AG85" s="61">
        <f>($C$18+$D$18+$E$18+$F$18+$G$18+$H$18+$I$18+$J$18+$K$18)*Table53[[#This Row],[Locality''s Allocation Percentage ]]</f>
        <v>109546.91449842603</v>
      </c>
      <c r="AH85" s="61">
        <f>($C$19+$D$19+$E$19+$F$19+$G$19+$H$19+$I$19+$J$19+$K$19)*Table53[[#This Row],[Locality''s Allocation Percentage ]]</f>
        <v>109546.91449842603</v>
      </c>
      <c r="AI85" s="61">
        <f>($C$20+$D$20+$E$20+$F$20+$G$20+$H$20+$I$20+$J$20+$K$20)*Table53[[#This Row],[Locality''s Allocation Percentage ]]</f>
        <v>91017.588898283691</v>
      </c>
      <c r="AJ85" s="61">
        <f>($C$21+$D$21+$E$21+$F$21+$G$21+$H$21+$I$21+$J$21+$K$21)*Table53[[#This Row],[Locality''s Allocation Percentage ]]</f>
        <v>91017.588898283691</v>
      </c>
      <c r="AK85" s="61">
        <f>($C$22+$D$22+$E$22+$F$22+$G$22+$H$22+$I$22+$J$22+$K$22)*Table53[[#This Row],[Locality''s Allocation Percentage ]]</f>
        <v>63722.974769869717</v>
      </c>
      <c r="AL85" s="61"/>
      <c r="AM85" s="61"/>
      <c r="AN85" s="61">
        <f>$L$6*Table53[[#This Row],[Locality''s Allocation Percentage ]]</f>
        <v>112244.34212186385</v>
      </c>
      <c r="AO85" s="61">
        <f>$L$7*Table53[[#This Row],[Locality''s Allocation Percentage ]]</f>
        <v>129928.600546193</v>
      </c>
      <c r="AP85" s="61">
        <f>$L$8*Table53[[#This Row],[Locality''s Allocation Percentage ]]</f>
        <v>50596.039807030218</v>
      </c>
      <c r="AQ85" s="61">
        <f>$L$9*Table53[[#This Row],[Locality''s Allocation Percentage ]]</f>
        <v>55511.84234977897</v>
      </c>
      <c r="AR85" s="61">
        <f>$L$10*Table53[[#This Row],[Locality''s Allocation Percentage ]]</f>
        <v>59139.660775132666</v>
      </c>
      <c r="AS85" s="61">
        <f>$L$11*Table53[[#This Row],[Locality''s Allocation Percentage ]]</f>
        <v>44510.599912396749</v>
      </c>
      <c r="AT85" s="61">
        <f>$L$12*Table53[[#This Row],[Locality''s Allocation Percentage ]]</f>
        <v>63301.982594843743</v>
      </c>
      <c r="AU85" s="61">
        <f>$L$13*Table53[[#This Row],[Locality''s Allocation Percentage ]]</f>
        <v>63681.909040462058</v>
      </c>
      <c r="AV85" s="61">
        <f>$L$14*Table53[[#This Row],[Locality''s Allocation Percentage ]]</f>
        <v>59225.401255326404</v>
      </c>
      <c r="AW85" s="61">
        <f>$L$15*Table53[[#This Row],[Locality''s Allocation Percentage ]]</f>
        <v>54785.093825556367</v>
      </c>
      <c r="AX85" s="61">
        <f>$L$16*Table53[[#This Row],[Locality''s Allocation Percentage ]]</f>
        <v>50166.246429284009</v>
      </c>
      <c r="AY85" s="61">
        <f>$L$17*Table53[[#This Row],[Locality''s Allocation Percentage ]]</f>
        <v>39166.39946471437</v>
      </c>
      <c r="AZ85" s="61">
        <f>$L$18*Table53[[#This Row],[Locality''s Allocation Percentage ]]</f>
        <v>39166.39946471437</v>
      </c>
      <c r="BA85" s="61">
        <f>$L$19*Table53[[#This Row],[Locality''s Allocation Percentage ]]</f>
        <v>39166.39946471437</v>
      </c>
      <c r="BB85" s="61">
        <f>$L$20*Table53[[#This Row],[Locality''s Allocation Percentage ]]</f>
        <v>32372.313411328843</v>
      </c>
      <c r="BC85" s="61">
        <f>$L$21*Table53[[#This Row],[Locality''s Allocation Percentage ]]</f>
        <v>32372.313411328843</v>
      </c>
      <c r="BD85" s="61">
        <f>$L$22*Table53[[#This Row],[Locality''s Allocation Percentage ]]</f>
        <v>23365.090748952229</v>
      </c>
      <c r="BE85" s="61"/>
      <c r="BF85" s="61">
        <f t="shared" si="70"/>
        <v>0</v>
      </c>
      <c r="BG85" s="61">
        <f t="shared" si="70"/>
        <v>28061.085530465964</v>
      </c>
      <c r="BH85" s="61">
        <f t="shared" si="75"/>
        <v>32482.150136548251</v>
      </c>
      <c r="BI85" s="61">
        <f t="shared" si="76"/>
        <v>12649.009951757555</v>
      </c>
      <c r="BJ85" s="61">
        <f t="shared" si="77"/>
        <v>13877.960587444742</v>
      </c>
      <c r="BK85" s="61">
        <f t="shared" si="78"/>
        <v>14784.915193783167</v>
      </c>
      <c r="BL85" s="61">
        <f t="shared" si="79"/>
        <v>11127.649978099187</v>
      </c>
      <c r="BM85" s="61">
        <f t="shared" si="80"/>
        <v>15825.495648710936</v>
      </c>
      <c r="BN85" s="61">
        <f t="shared" si="81"/>
        <v>15920.477260115515</v>
      </c>
      <c r="BO85" s="61">
        <f t="shared" si="82"/>
        <v>14806.350313831601</v>
      </c>
      <c r="BP85" s="61">
        <f t="shared" si="83"/>
        <v>13696.273456389092</v>
      </c>
      <c r="BQ85" s="61">
        <f t="shared" si="84"/>
        <v>12541.561607321002</v>
      </c>
      <c r="BR85" s="61">
        <f t="shared" si="85"/>
        <v>9791.5998661785925</v>
      </c>
      <c r="BS85" s="61">
        <f t="shared" si="86"/>
        <v>9791.5998661785925</v>
      </c>
      <c r="BT85" s="61">
        <f t="shared" si="87"/>
        <v>9791.5998661785925</v>
      </c>
      <c r="BU85" s="61">
        <f t="shared" si="88"/>
        <v>8093.0783528322108</v>
      </c>
      <c r="BV85" s="61">
        <f t="shared" si="89"/>
        <v>8093.0783528322108</v>
      </c>
      <c r="BW85" s="61">
        <f t="shared" si="74"/>
        <v>5841.2726872380572</v>
      </c>
      <c r="BX85" s="61"/>
      <c r="BY85" s="61">
        <f>($C$6+$D$6+$E$6)*Table53[[#This Row],[Locality''s Allocation Percentage ]]</f>
        <v>310193.6482071114</v>
      </c>
      <c r="BZ85" s="61">
        <f>$L$6*Table53[[#This Row],[Locality''s Allocation Percentage ]]</f>
        <v>112244.34212186385</v>
      </c>
      <c r="CA85" s="61">
        <f t="shared" si="71"/>
        <v>28061.085530465964</v>
      </c>
      <c r="CB85" s="76">
        <f>($C$7+$D$7+$E$7)*Table53[[#This Row],[Locality''s Allocation Percentage ]]</f>
        <v>111867.89190602397</v>
      </c>
      <c r="CC85" s="76">
        <f>$L$7*Table53[[#This Row],[Locality''s Allocation Percentage ]]</f>
        <v>129928.600546193</v>
      </c>
      <c r="CD85" s="76">
        <f t="shared" si="72"/>
        <v>32482.150136548251</v>
      </c>
    </row>
    <row r="86" spans="3:82" s="19" customFormat="1" ht="18" customHeight="1" x14ac:dyDescent="0.25">
      <c r="D86" s="53"/>
      <c r="H86" s="53"/>
      <c r="M86" s="35">
        <f t="shared" si="73"/>
        <v>10592597.926310677</v>
      </c>
      <c r="P86" s="36" t="s">
        <v>282</v>
      </c>
      <c r="Q86" s="37">
        <v>1.470014700147E-3</v>
      </c>
      <c r="S86" s="22" t="s">
        <v>151</v>
      </c>
      <c r="T86" s="61">
        <f>($C$5+$D$5+$E$5+$F$5+$G$5+$H$5+$I$5+$J$5+$K$5)*Table53[[#This Row],[Locality''s Allocation Percentage ]]</f>
        <v>5977.5342766378226</v>
      </c>
      <c r="U86" s="61">
        <f>($C$6+$D$6+$E$6+$F$6+$G$6+$H$6+$I$6+$J$6+$K$6)*Table53[[#This Row],[Locality''s Allocation Percentage ]]</f>
        <v>37841.050860120646</v>
      </c>
      <c r="V86" s="61">
        <f>($C$7+$D$7+$E$7+$F$7+$G$7+$H$7+$I$7+$J$7+$K$7)*Table53[[#This Row],[Locality''s Allocation Percentage ]]</f>
        <v>46667.698472333308</v>
      </c>
      <c r="W86" s="61">
        <f>($C$8+$D$8+$E$8+$F$8+$G$8+$H$8+$I$8+$J$8+$K$8)*Table53[[#This Row],[Locality''s Allocation Percentage ]]</f>
        <v>17896.959051137383</v>
      </c>
      <c r="X86" s="61">
        <f>($C$9+$D$9+$E$9+$F$9+$G$9+$H$9+$I$9+$J$9+$K$9)*Table53[[#This Row],[Locality''s Allocation Percentage ]]</f>
        <v>19231.439066449395</v>
      </c>
      <c r="Y86" s="61">
        <f>($C$10+$D$10+$E$10+$F$10+$G$10+$H$10+$I$10+$J$10+$K$10)*Table53[[#This Row],[Locality''s Allocation Percentage ]]</f>
        <v>20438.43108876624</v>
      </c>
      <c r="Z86" s="61">
        <f>($C$11+$D$11+$E$11+$F$11+$G$11+$H$11+$I$11+$J$11+$K$11)*Table53[[#This Row],[Locality''s Allocation Percentage ]]</f>
        <v>15571.274664423325</v>
      </c>
      <c r="AA86" s="61">
        <f>($C$12+$D$12+$E$12+$F$12+$G$12+$H$12+$I$12+$J$12+$K$12)*Table53[[#This Row],[Locality''s Allocation Percentage ]]</f>
        <v>21823.254870352499</v>
      </c>
      <c r="AB86" s="61">
        <f>($C$13+$D$13+$E$13+$F$13+$G$13+$H$13+$I$13+$J$13+$K$13)*Table53[[#This Row],[Locality''s Allocation Percentage ]]</f>
        <v>21922.549272498716</v>
      </c>
      <c r="AC86" s="61">
        <f>($C$14+$D$14+$E$14+$F$14+$G$14+$H$14+$I$14+$J$14+$K$14)*Table53[[#This Row],[Locality''s Allocation Percentage ]]</f>
        <v>20525.927677751522</v>
      </c>
      <c r="AD86" s="61">
        <f>($C$15+$D$15+$E$15+$F$15+$G$15+$H$15+$I$15+$J$15+$K$15)*Table53[[#This Row],[Locality''s Allocation Percentage ]]</f>
        <v>19048.18656283931</v>
      </c>
      <c r="AE86" s="61">
        <f>($C$16+$D$16+$E$16+$F$16+$G$16+$H$16+$I$16+$J$16+$K$16)*Table53[[#This Row],[Locality''s Allocation Percentage ]]</f>
        <v>17511.474603762654</v>
      </c>
      <c r="AF86" s="61">
        <f>($C$17+$D$17+$E$17+$F$17+$G$17+$H$17+$I$17+$J$17+$K$17)*Table53[[#This Row],[Locality''s Allocation Percentage ]]</f>
        <v>13363.814465783093</v>
      </c>
      <c r="AG86" s="61">
        <f>($C$18+$D$18+$E$18+$F$18+$G$18+$H$18+$I$18+$J$18+$K$18)*Table53[[#This Row],[Locality''s Allocation Percentage ]]</f>
        <v>13363.814465783093</v>
      </c>
      <c r="AH86" s="61">
        <f>($C$19+$D$19+$E$19+$F$19+$G$19+$H$19+$I$19+$J$19+$K$19)*Table53[[#This Row],[Locality''s Allocation Percentage ]]</f>
        <v>13363.814465783093</v>
      </c>
      <c r="AI86" s="61">
        <f>($C$20+$D$20+$E$20+$F$20+$G$20+$H$20+$I$20+$J$20+$K$20)*Table53[[#This Row],[Locality''s Allocation Percentage ]]</f>
        <v>11103.390512902657</v>
      </c>
      <c r="AJ86" s="61">
        <f>($C$21+$D$21+$E$21+$F$21+$G$21+$H$21+$I$21+$J$21+$K$21)*Table53[[#This Row],[Locality''s Allocation Percentage ]]</f>
        <v>11103.390512902657</v>
      </c>
      <c r="AK86" s="61">
        <f>($C$22+$D$22+$E$22+$F$22+$G$22+$H$22+$I$22+$J$22+$K$22)*Table53[[#This Row],[Locality''s Allocation Percentage ]]</f>
        <v>7773.674100556721</v>
      </c>
      <c r="AL86" s="61"/>
      <c r="AM86" s="61"/>
      <c r="AN86" s="61">
        <f>$L$6*Table53[[#This Row],[Locality''s Allocation Percentage ]]</f>
        <v>13692.878250551026</v>
      </c>
      <c r="AO86" s="61">
        <f>$L$7*Table53[[#This Row],[Locality''s Allocation Percentage ]]</f>
        <v>15850.211020987859</v>
      </c>
      <c r="AP86" s="61">
        <f>$L$8*Table53[[#This Row],[Locality''s Allocation Percentage ]]</f>
        <v>6172.2969723099104</v>
      </c>
      <c r="AQ86" s="61">
        <f>$L$9*Table53[[#This Row],[Locality''s Allocation Percentage ]]</f>
        <v>6771.984087483409</v>
      </c>
      <c r="AR86" s="61">
        <f>$L$10*Table53[[#This Row],[Locality''s Allocation Percentage ]]</f>
        <v>7214.5478289995863</v>
      </c>
      <c r="AS86" s="61">
        <f>$L$11*Table53[[#This Row],[Locality''s Allocation Percentage ]]</f>
        <v>5429.9238067405167</v>
      </c>
      <c r="AT86" s="61">
        <f>$L$12*Table53[[#This Row],[Locality''s Allocation Percentage ]]</f>
        <v>7722.3165489145476</v>
      </c>
      <c r="AU86" s="61">
        <f>$L$13*Table53[[#This Row],[Locality''s Allocation Percentage ]]</f>
        <v>7768.6644223634212</v>
      </c>
      <c r="AV86" s="61">
        <f>$L$14*Table53[[#This Row],[Locality''s Allocation Percentage ]]</f>
        <v>7225.007456043968</v>
      </c>
      <c r="AW86" s="61">
        <f>$L$15*Table53[[#This Row],[Locality''s Allocation Percentage ]]</f>
        <v>6683.3267986363362</v>
      </c>
      <c r="AX86" s="61">
        <f>$L$16*Table53[[#This Row],[Locality''s Allocation Percentage ]]</f>
        <v>6119.865746974895</v>
      </c>
      <c r="AY86" s="61">
        <f>$L$17*Table53[[#This Row],[Locality''s Allocation Percentage ]]</f>
        <v>4777.97570233445</v>
      </c>
      <c r="AZ86" s="61">
        <f>$L$18*Table53[[#This Row],[Locality''s Allocation Percentage ]]</f>
        <v>4777.97570233445</v>
      </c>
      <c r="BA86" s="61">
        <f>$L$19*Table53[[#This Row],[Locality''s Allocation Percentage ]]</f>
        <v>4777.97570233445</v>
      </c>
      <c r="BB86" s="61">
        <f>$L$20*Table53[[#This Row],[Locality''s Allocation Percentage ]]</f>
        <v>3949.1535862782907</v>
      </c>
      <c r="BC86" s="61">
        <f>$L$21*Table53[[#This Row],[Locality''s Allocation Percentage ]]</f>
        <v>3949.1535862782907</v>
      </c>
      <c r="BD86" s="61">
        <f>$L$22*Table53[[#This Row],[Locality''s Allocation Percentage ]]</f>
        <v>2850.3471702041306</v>
      </c>
      <c r="BE86" s="61"/>
      <c r="BF86" s="61">
        <f t="shared" si="70"/>
        <v>0</v>
      </c>
      <c r="BG86" s="61">
        <f t="shared" si="70"/>
        <v>3423.2195626377566</v>
      </c>
      <c r="BH86" s="61">
        <f t="shared" si="75"/>
        <v>3962.5527552469648</v>
      </c>
      <c r="BI86" s="61">
        <f t="shared" si="76"/>
        <v>1543.0742430774776</v>
      </c>
      <c r="BJ86" s="61">
        <f t="shared" si="77"/>
        <v>1692.9960218708522</v>
      </c>
      <c r="BK86" s="61">
        <f t="shared" si="78"/>
        <v>1803.6369572498966</v>
      </c>
      <c r="BL86" s="61">
        <f t="shared" si="79"/>
        <v>1357.4809516851292</v>
      </c>
      <c r="BM86" s="61">
        <f t="shared" si="80"/>
        <v>1930.5791372286369</v>
      </c>
      <c r="BN86" s="61">
        <f t="shared" si="81"/>
        <v>1942.1661055908553</v>
      </c>
      <c r="BO86" s="61">
        <f t="shared" si="82"/>
        <v>1806.251864010992</v>
      </c>
      <c r="BP86" s="61">
        <f t="shared" si="83"/>
        <v>1670.8316996590841</v>
      </c>
      <c r="BQ86" s="61">
        <f t="shared" si="84"/>
        <v>1529.9664367437238</v>
      </c>
      <c r="BR86" s="61">
        <f t="shared" si="85"/>
        <v>1194.4939255836125</v>
      </c>
      <c r="BS86" s="61">
        <f t="shared" si="86"/>
        <v>1194.4939255836125</v>
      </c>
      <c r="BT86" s="61">
        <f t="shared" si="87"/>
        <v>1194.4939255836125</v>
      </c>
      <c r="BU86" s="61">
        <f t="shared" si="88"/>
        <v>987.28839656957268</v>
      </c>
      <c r="BV86" s="61">
        <f t="shared" si="89"/>
        <v>987.28839656957268</v>
      </c>
      <c r="BW86" s="61">
        <f t="shared" si="74"/>
        <v>712.58679255103266</v>
      </c>
      <c r="BX86" s="61"/>
      <c r="BY86" s="61">
        <f>($C$6+$D$6+$E$6)*Table53[[#This Row],[Locality''s Allocation Percentage ]]</f>
        <v>37841.050860120646</v>
      </c>
      <c r="BZ86" s="61">
        <f>$L$6*Table53[[#This Row],[Locality''s Allocation Percentage ]]</f>
        <v>13692.878250551026</v>
      </c>
      <c r="CA86" s="61">
        <f t="shared" si="71"/>
        <v>3423.2195626377566</v>
      </c>
      <c r="CB86" s="76">
        <f>($C$7+$D$7+$E$7)*Table53[[#This Row],[Locality''s Allocation Percentage ]]</f>
        <v>13646.954448286742</v>
      </c>
      <c r="CC86" s="76">
        <f>$L$7*Table53[[#This Row],[Locality''s Allocation Percentage ]]</f>
        <v>15850.211020987859</v>
      </c>
      <c r="CD86" s="76">
        <f t="shared" si="72"/>
        <v>3962.5527552469648</v>
      </c>
    </row>
    <row r="87" spans="3:82" s="19" customFormat="1" ht="18" customHeight="1" x14ac:dyDescent="0.25">
      <c r="C87" s="19" t="s">
        <v>327</v>
      </c>
      <c r="D87" s="53">
        <f>D81-D85</f>
        <v>0</v>
      </c>
      <c r="E87" s="53">
        <f>E85-E81</f>
        <v>464349.00910112262</v>
      </c>
      <c r="M87" s="35">
        <f t="shared" si="73"/>
        <v>14845603.154968582</v>
      </c>
      <c r="P87" s="36" t="s">
        <v>283</v>
      </c>
      <c r="Q87" s="37">
        <v>1.5600156001560001E-3</v>
      </c>
      <c r="S87" s="22" t="s">
        <v>152</v>
      </c>
      <c r="T87" s="61">
        <f>($C$5+$D$5+$E$5+$F$5+$G$5+$H$5+$I$5+$J$5+$K$5)*Table53[[#This Row],[Locality''s Allocation Percentage ]]</f>
        <v>6343.5057629625881</v>
      </c>
      <c r="U87" s="61">
        <f>($C$6+$D$6+$E$6+$F$6+$G$6+$H$6+$I$6+$J$6+$K$6)*Table53[[#This Row],[Locality''s Allocation Percentage ]]</f>
        <v>40157.849892372928</v>
      </c>
      <c r="V87" s="61">
        <f>($C$7+$D$7+$E$7+$F$7+$G$7+$H$7+$I$7+$J$7+$K$7)*Table53[[#This Row],[Locality''s Allocation Percentage ]]</f>
        <v>49524.904501251673</v>
      </c>
      <c r="W87" s="61">
        <f>($C$8+$D$8+$E$8+$F$8+$G$8+$H$8+$I$8+$J$8+$K$8)*Table53[[#This Row],[Locality''s Allocation Percentage ]]</f>
        <v>18992.691237941715</v>
      </c>
      <c r="X87" s="61">
        <f>($C$9+$D$9+$E$9+$F$9+$G$9+$H$9+$I$9+$J$9+$K$9)*Table53[[#This Row],[Locality''s Allocation Percentage ]]</f>
        <v>20408.874111334051</v>
      </c>
      <c r="Y87" s="61">
        <f>($C$10+$D$10+$E$10+$F$10+$G$10+$H$10+$I$10+$J$10+$K$10)*Table53[[#This Row],[Locality''s Allocation Percentage ]]</f>
        <v>21689.76360440499</v>
      </c>
      <c r="Z87" s="61">
        <f>($C$11+$D$11+$E$11+$F$11+$G$11+$H$11+$I$11+$J$11+$K$11)*Table53[[#This Row],[Locality''s Allocation Percentage ]]</f>
        <v>16524.618011224753</v>
      </c>
      <c r="AA87" s="61">
        <f>($C$12+$D$12+$E$12+$F$12+$G$12+$H$12+$I$12+$J$12+$K$12)*Table53[[#This Row],[Locality''s Allocation Percentage ]]</f>
        <v>23159.37251547612</v>
      </c>
      <c r="AB87" s="61">
        <f>($C$13+$D$13+$E$13+$F$13+$G$13+$H$13+$I$13+$J$13+$K$13)*Table53[[#This Row],[Locality''s Allocation Percentage ]]</f>
        <v>23264.746166733334</v>
      </c>
      <c r="AC87" s="61">
        <f>($C$14+$D$14+$E$14+$F$14+$G$14+$H$14+$I$14+$J$14+$K$14)*Table53[[#This Row],[Locality''s Allocation Percentage ]]</f>
        <v>21782.61712740978</v>
      </c>
      <c r="AD87" s="61">
        <f>($C$15+$D$15+$E$15+$F$15+$G$15+$H$15+$I$15+$J$15+$K$15)*Table53[[#This Row],[Locality''s Allocation Percentage ]]</f>
        <v>20214.402066686616</v>
      </c>
      <c r="AE87" s="61">
        <f>($C$16+$D$16+$E$16+$F$16+$G$16+$H$16+$I$16+$J$16+$K$16)*Table53[[#This Row],[Locality''s Allocation Percentage ]]</f>
        <v>18583.605701952205</v>
      </c>
      <c r="AF87" s="61">
        <f>($C$17+$D$17+$E$17+$F$17+$G$17+$H$17+$I$17+$J$17+$K$17)*Table53[[#This Row],[Locality''s Allocation Percentage ]]</f>
        <v>14182.007188177977</v>
      </c>
      <c r="AG87" s="61">
        <f>($C$18+$D$18+$E$18+$F$18+$G$18+$H$18+$I$18+$J$18+$K$18)*Table53[[#This Row],[Locality''s Allocation Percentage ]]</f>
        <v>14182.007188177977</v>
      </c>
      <c r="AH87" s="61">
        <f>($C$19+$D$19+$E$19+$F$19+$G$19+$H$19+$I$19+$J$19+$K$19)*Table53[[#This Row],[Locality''s Allocation Percentage ]]</f>
        <v>14182.007188177977</v>
      </c>
      <c r="AI87" s="61">
        <f>($C$20+$D$20+$E$20+$F$20+$G$20+$H$20+$I$20+$J$20+$K$20)*Table53[[#This Row],[Locality''s Allocation Percentage ]]</f>
        <v>11783.189932059964</v>
      </c>
      <c r="AJ87" s="61">
        <f>($C$21+$D$21+$E$21+$F$21+$G$21+$H$21+$I$21+$J$21+$K$21)*Table53[[#This Row],[Locality''s Allocation Percentage ]]</f>
        <v>11783.189932059964</v>
      </c>
      <c r="AK87" s="61">
        <f>($C$22+$D$22+$E$22+$F$22+$G$22+$H$22+$I$22+$J$22+$K$22)*Table53[[#This Row],[Locality''s Allocation Percentage ]]</f>
        <v>8249.6133312030506</v>
      </c>
      <c r="AL87" s="61"/>
      <c r="AM87" s="61"/>
      <c r="AN87" s="61">
        <f>$L$6*Table53[[#This Row],[Locality''s Allocation Percentage ]]</f>
        <v>14531.21773527864</v>
      </c>
      <c r="AO87" s="61">
        <f>$L$7*Table53[[#This Row],[Locality''s Allocation Percentage ]]</f>
        <v>16820.632103905486</v>
      </c>
      <c r="AP87" s="61">
        <f>$L$8*Table53[[#This Row],[Locality''s Allocation Percentage ]]</f>
        <v>6550.1927053084764</v>
      </c>
      <c r="AQ87" s="61">
        <f>$L$9*Table53[[#This Row],[Locality''s Allocation Percentage ]]</f>
        <v>7186.5953581456588</v>
      </c>
      <c r="AR87" s="61">
        <f>$L$10*Table53[[#This Row],[Locality''s Allocation Percentage ]]</f>
        <v>7656.2548389383373</v>
      </c>
      <c r="AS87" s="61">
        <f>$L$11*Table53[[#This Row],[Locality''s Allocation Percentage ]]</f>
        <v>5762.3681214389153</v>
      </c>
      <c r="AT87" s="61">
        <f>$L$12*Table53[[#This Row],[Locality''s Allocation Percentage ]]</f>
        <v>8195.1114396644189</v>
      </c>
      <c r="AU87" s="61">
        <f>$L$13*Table53[[#This Row],[Locality''s Allocation Percentage ]]</f>
        <v>8244.296938018324</v>
      </c>
      <c r="AV87" s="61">
        <f>$L$14*Table53[[#This Row],[Locality''s Allocation Percentage ]]</f>
        <v>7667.3548513119667</v>
      </c>
      <c r="AW87" s="61">
        <f>$L$15*Table53[[#This Row],[Locality''s Allocation Percentage ]]</f>
        <v>7092.5100720222354</v>
      </c>
      <c r="AX87" s="61">
        <f>$L$16*Table53[[#This Row],[Locality''s Allocation Percentage ]]</f>
        <v>6494.5514049529502</v>
      </c>
      <c r="AY87" s="61">
        <f>$L$17*Table53[[#This Row],[Locality''s Allocation Percentage ]]</f>
        <v>5070.5048269671715</v>
      </c>
      <c r="AZ87" s="61">
        <f>$L$18*Table53[[#This Row],[Locality''s Allocation Percentage ]]</f>
        <v>5070.5048269671715</v>
      </c>
      <c r="BA87" s="61">
        <f>$L$19*Table53[[#This Row],[Locality''s Allocation Percentage ]]</f>
        <v>5070.5048269671715</v>
      </c>
      <c r="BB87" s="61">
        <f>$L$20*Table53[[#This Row],[Locality''s Allocation Percentage ]]</f>
        <v>4190.9384997239003</v>
      </c>
      <c r="BC87" s="61">
        <f>$L$21*Table53[[#This Row],[Locality''s Allocation Percentage ]]</f>
        <v>4190.9384997239003</v>
      </c>
      <c r="BD87" s="61">
        <f>$L$22*Table53[[#This Row],[Locality''s Allocation Percentage ]]</f>
        <v>3024.8582214411185</v>
      </c>
      <c r="BE87" s="61"/>
      <c r="BF87" s="61">
        <f t="shared" si="70"/>
        <v>0</v>
      </c>
      <c r="BG87" s="61">
        <f t="shared" si="70"/>
        <v>3632.8044338196601</v>
      </c>
      <c r="BH87" s="61">
        <f t="shared" si="75"/>
        <v>4205.1580259763714</v>
      </c>
      <c r="BI87" s="61">
        <f t="shared" si="76"/>
        <v>1637.5481763271191</v>
      </c>
      <c r="BJ87" s="61">
        <f t="shared" si="77"/>
        <v>1796.6488395364147</v>
      </c>
      <c r="BK87" s="61">
        <f t="shared" si="78"/>
        <v>1914.0637097345843</v>
      </c>
      <c r="BL87" s="61">
        <f t="shared" si="79"/>
        <v>1440.5920303597288</v>
      </c>
      <c r="BM87" s="61">
        <f t="shared" si="80"/>
        <v>2048.7778599161047</v>
      </c>
      <c r="BN87" s="61">
        <f t="shared" si="81"/>
        <v>2061.074234504581</v>
      </c>
      <c r="BO87" s="61">
        <f t="shared" si="82"/>
        <v>1916.8387128279917</v>
      </c>
      <c r="BP87" s="61">
        <f t="shared" si="83"/>
        <v>1773.1275180055588</v>
      </c>
      <c r="BQ87" s="61">
        <f t="shared" si="84"/>
        <v>1623.6378512382375</v>
      </c>
      <c r="BR87" s="61">
        <f t="shared" si="85"/>
        <v>1267.6262067417929</v>
      </c>
      <c r="BS87" s="61">
        <f t="shared" si="86"/>
        <v>1267.6262067417929</v>
      </c>
      <c r="BT87" s="61">
        <f t="shared" si="87"/>
        <v>1267.6262067417929</v>
      </c>
      <c r="BU87" s="61">
        <f t="shared" si="88"/>
        <v>1047.7346249309751</v>
      </c>
      <c r="BV87" s="61">
        <f t="shared" si="89"/>
        <v>1047.7346249309751</v>
      </c>
      <c r="BW87" s="61">
        <f t="shared" si="74"/>
        <v>756.21455536027963</v>
      </c>
      <c r="BX87" s="61"/>
      <c r="BY87" s="61">
        <f>($C$6+$D$6+$E$6)*Table53[[#This Row],[Locality''s Allocation Percentage ]]</f>
        <v>40157.849892372928</v>
      </c>
      <c r="BZ87" s="61">
        <f>$L$6*Table53[[#This Row],[Locality''s Allocation Percentage ]]</f>
        <v>14531.21773527864</v>
      </c>
      <c r="CA87" s="61">
        <f t="shared" si="71"/>
        <v>3632.8044338196601</v>
      </c>
      <c r="CB87" s="76">
        <f>($C$7+$D$7+$E$7)*Table53[[#This Row],[Locality''s Allocation Percentage ]]</f>
        <v>14482.482271651237</v>
      </c>
      <c r="CC87" s="76">
        <f>$L$7*Table53[[#This Row],[Locality''s Allocation Percentage ]]</f>
        <v>16820.632103905486</v>
      </c>
      <c r="CD87" s="76">
        <f t="shared" si="72"/>
        <v>4205.1580259763714</v>
      </c>
    </row>
    <row r="88" spans="3:82" s="19" customFormat="1" ht="18" customHeight="1" x14ac:dyDescent="0.25">
      <c r="M88" s="35">
        <f t="shared" si="73"/>
        <v>14913149.691840826</v>
      </c>
      <c r="P88" s="36" t="s">
        <v>153</v>
      </c>
      <c r="Q88" s="37">
        <v>2.0470204702046999E-2</v>
      </c>
      <c r="S88" s="22" t="s">
        <v>153</v>
      </c>
      <c r="T88" s="61">
        <f>($C$5+$D$5+$E$5+$F$5+$G$5+$H$5+$I$5+$J$5+$K$5)*Table53[[#This Row],[Locality''s Allocation Percentage ]]</f>
        <v>83238.181389643694</v>
      </c>
      <c r="U88" s="61">
        <f>($C$6+$D$6+$E$6+$F$6+$G$6+$H$6+$I$6+$J$6+$K$6)*Table53[[#This Row],[Locality''s Allocation Percentage ]]</f>
        <v>526943.06878004735</v>
      </c>
      <c r="V88" s="61">
        <f>($C$7+$D$7+$E$7+$F$7+$G$7+$H$7+$I$7+$J$7+$K$7)*Table53[[#This Row],[Locality''s Allocation Percentage ]]</f>
        <v>649855.63791065488</v>
      </c>
      <c r="W88" s="61">
        <f>($C$8+$D$8+$E$8+$F$8+$G$8+$H$8+$I$8+$J$8+$K$8)*Table53[[#This Row],[Locality''s Allocation Percentage ]]</f>
        <v>249218.19848760695</v>
      </c>
      <c r="X88" s="61">
        <f>($C$9+$D$9+$E$9+$F$9+$G$9+$H$9+$I$9+$J$9+$K$9)*Table53[[#This Row],[Locality''s Allocation Percentage ]]</f>
        <v>267801.05965321022</v>
      </c>
      <c r="Y88" s="61">
        <f>($C$10+$D$10+$E$10+$F$10+$G$10+$H$10+$I$10+$J$10+$K$10)*Table53[[#This Row],[Locality''s Allocation Percentage ]]</f>
        <v>284608.62883472443</v>
      </c>
      <c r="Z88" s="61">
        <f>($C$11+$D$11+$E$11+$F$11+$G$11+$H$11+$I$11+$J$11+$K$11)*Table53[[#This Row],[Locality''s Allocation Percentage ]]</f>
        <v>216832.64787805811</v>
      </c>
      <c r="AA88" s="61">
        <f>($C$12+$D$12+$E$12+$F$12+$G$12+$H$12+$I$12+$J$12+$K$12)*Table53[[#This Row],[Locality''s Allocation Percentage ]]</f>
        <v>303892.53550756164</v>
      </c>
      <c r="AB88" s="61">
        <f>($C$13+$D$13+$E$13+$F$13+$G$13+$H$13+$I$13+$J$13+$K$13)*Table53[[#This Row],[Locality''s Allocation Percentage ]]</f>
        <v>305275.22694425081</v>
      </c>
      <c r="AC88" s="61">
        <f>($C$14+$D$14+$E$14+$F$14+$G$14+$H$14+$I$14+$J$14+$K$14)*Table53[[#This Row],[Locality''s Allocation Percentage ]]</f>
        <v>285827.0337167168</v>
      </c>
      <c r="AD88" s="61">
        <f>($C$15+$D$15+$E$15+$F$15+$G$15+$H$15+$I$15+$J$15+$K$15)*Table53[[#This Row],[Locality''s Allocation Percentage ]]</f>
        <v>265249.23737504805</v>
      </c>
      <c r="AE88" s="61">
        <f>($C$16+$D$16+$E$16+$F$16+$G$16+$H$16+$I$16+$J$16+$K$16)*Table53[[#This Row],[Locality''s Allocation Percentage ]]</f>
        <v>243850.26199933433</v>
      </c>
      <c r="AF88" s="61">
        <f>($C$17+$D$17+$E$17+$F$17+$G$17+$H$17+$I$17+$J$17+$K$17)*Table53[[#This Row],[Locality''s Allocation Percentage ]]</f>
        <v>186093.38919359178</v>
      </c>
      <c r="AG88" s="61">
        <f>($C$18+$D$18+$E$18+$F$18+$G$18+$H$18+$I$18+$J$18+$K$18)*Table53[[#This Row],[Locality''s Allocation Percentage ]]</f>
        <v>186093.38919359178</v>
      </c>
      <c r="AH88" s="61">
        <f>($C$19+$D$19+$E$19+$F$19+$G$19+$H$19+$I$19+$J$19+$K$19)*Table53[[#This Row],[Locality''s Allocation Percentage ]]</f>
        <v>186093.38919359178</v>
      </c>
      <c r="AI88" s="61">
        <f>($C$20+$D$20+$E$20+$F$20+$G$20+$H$20+$I$20+$J$20+$K$20)*Table53[[#This Row],[Locality''s Allocation Percentage ]]</f>
        <v>154616.60122388939</v>
      </c>
      <c r="AJ88" s="61">
        <f>($C$21+$D$21+$E$21+$F$21+$G$21+$H$21+$I$21+$J$21+$K$21)*Table53[[#This Row],[Locality''s Allocation Percentage ]]</f>
        <v>154616.60122388939</v>
      </c>
      <c r="AK88" s="61">
        <f>($C$22+$D$22+$E$22+$F$22+$G$22+$H$22+$I$22+$J$22+$K$22)*Table53[[#This Row],[Locality''s Allocation Percentage ]]</f>
        <v>108249.73390367079</v>
      </c>
      <c r="AL88" s="61"/>
      <c r="AM88" s="61"/>
      <c r="AN88" s="61">
        <f>$L$6*Table53[[#This Row],[Locality''s Allocation Percentage ]]</f>
        <v>190675.65835971394</v>
      </c>
      <c r="AO88" s="61">
        <f>$L$7*Table53[[#This Row],[Locality''s Allocation Percentage ]]</f>
        <v>220716.88408137514</v>
      </c>
      <c r="AP88" s="61">
        <f>$L$8*Table53[[#This Row],[Locality''s Allocation Percentage ]]</f>
        <v>85950.285049784943</v>
      </c>
      <c r="AQ88" s="61">
        <f>$L$9*Table53[[#This Row],[Locality''s Allocation Percentage ]]</f>
        <v>94301.030116180526</v>
      </c>
      <c r="AR88" s="61">
        <f>$L$10*Table53[[#This Row],[Locality''s Allocation Percentage ]]</f>
        <v>100463.80548273574</v>
      </c>
      <c r="AS88" s="61">
        <f>$L$11*Table53[[#This Row],[Locality''s Allocation Percentage ]]</f>
        <v>75612.6124652914</v>
      </c>
      <c r="AT88" s="61">
        <f>$L$12*Table53[[#This Row],[Locality''s Allocation Percentage ]]</f>
        <v>107534.57126277604</v>
      </c>
      <c r="AU88" s="61">
        <f>$L$13*Table53[[#This Row],[Locality''s Allocation Percentage ]]</f>
        <v>108179.973282843</v>
      </c>
      <c r="AV88" s="61">
        <f>$L$14*Table53[[#This Row],[Locality''s Allocation Percentage ]]</f>
        <v>100609.45756817688</v>
      </c>
      <c r="AW88" s="61">
        <f>$L$15*Table53[[#This Row],[Locality''s Allocation Percentage ]]</f>
        <v>93066.462291214833</v>
      </c>
      <c r="AX88" s="61">
        <f>$L$16*Table53[[#This Row],[Locality''s Allocation Percentage ]]</f>
        <v>85220.1713201198</v>
      </c>
      <c r="AY88" s="61">
        <f>$L$17*Table53[[#This Row],[Locality''s Allocation Percentage ]]</f>
        <v>66534.124235908967</v>
      </c>
      <c r="AZ88" s="61">
        <f>$L$18*Table53[[#This Row],[Locality''s Allocation Percentage ]]</f>
        <v>66534.124235908967</v>
      </c>
      <c r="BA88" s="61">
        <f>$L$19*Table53[[#This Row],[Locality''s Allocation Percentage ]]</f>
        <v>66534.124235908967</v>
      </c>
      <c r="BB88" s="61">
        <f>$L$20*Table53[[#This Row],[Locality''s Allocation Percentage ]]</f>
        <v>54992.635313684761</v>
      </c>
      <c r="BC88" s="61">
        <f>$L$21*Table53[[#This Row],[Locality''s Allocation Percentage ]]</f>
        <v>54992.635313684761</v>
      </c>
      <c r="BD88" s="61">
        <f>$L$22*Table53[[#This Row],[Locality''s Allocation Percentage ]]</f>
        <v>39691.569098012624</v>
      </c>
      <c r="BE88" s="61"/>
      <c r="BF88" s="61">
        <f t="shared" si="70"/>
        <v>0</v>
      </c>
      <c r="BG88" s="61">
        <f t="shared" si="70"/>
        <v>47668.914589928485</v>
      </c>
      <c r="BH88" s="61">
        <f t="shared" si="75"/>
        <v>55179.221020343786</v>
      </c>
      <c r="BI88" s="61">
        <f t="shared" si="76"/>
        <v>21487.571262446236</v>
      </c>
      <c r="BJ88" s="61">
        <f t="shared" si="77"/>
        <v>23575.257529045131</v>
      </c>
      <c r="BK88" s="61">
        <f t="shared" si="78"/>
        <v>25115.951370683935</v>
      </c>
      <c r="BL88" s="61">
        <f t="shared" si="79"/>
        <v>18903.15311632285</v>
      </c>
      <c r="BM88" s="61">
        <f t="shared" si="80"/>
        <v>26883.642815694009</v>
      </c>
      <c r="BN88" s="61">
        <f t="shared" si="81"/>
        <v>27044.99332071075</v>
      </c>
      <c r="BO88" s="61">
        <f t="shared" si="82"/>
        <v>25152.364392044219</v>
      </c>
      <c r="BP88" s="61">
        <f t="shared" si="83"/>
        <v>23266.615572803708</v>
      </c>
      <c r="BQ88" s="61">
        <f t="shared" si="84"/>
        <v>21305.04283002995</v>
      </c>
      <c r="BR88" s="61">
        <f t="shared" si="85"/>
        <v>16633.531058977242</v>
      </c>
      <c r="BS88" s="61">
        <f t="shared" si="86"/>
        <v>16633.531058977242</v>
      </c>
      <c r="BT88" s="61">
        <f t="shared" si="87"/>
        <v>16633.531058977242</v>
      </c>
      <c r="BU88" s="61">
        <f t="shared" si="88"/>
        <v>13748.15882842119</v>
      </c>
      <c r="BV88" s="61">
        <f t="shared" si="89"/>
        <v>13748.15882842119</v>
      </c>
      <c r="BW88" s="61">
        <f t="shared" si="74"/>
        <v>9922.8922745031559</v>
      </c>
      <c r="BX88" s="61"/>
      <c r="BY88" s="61">
        <f>($C$6+$D$6+$E$6)*Table53[[#This Row],[Locality''s Allocation Percentage ]]</f>
        <v>526943.06878004735</v>
      </c>
      <c r="BZ88" s="61">
        <f>$L$6*Table53[[#This Row],[Locality''s Allocation Percentage ]]</f>
        <v>190675.65835971394</v>
      </c>
      <c r="CA88" s="61">
        <f t="shared" si="71"/>
        <v>47668.914589928485</v>
      </c>
      <c r="CB88" s="76">
        <f>($C$7+$D$7+$E$7)*Table53[[#This Row],[Locality''s Allocation Percentage ]]</f>
        <v>190036.16160301332</v>
      </c>
      <c r="CC88" s="76">
        <f>$L$7*Table53[[#This Row],[Locality''s Allocation Percentage ]]</f>
        <v>220716.88408137514</v>
      </c>
      <c r="CD88" s="76">
        <f t="shared" si="72"/>
        <v>55179.221020343786</v>
      </c>
    </row>
    <row r="89" spans="3:82" s="19" customFormat="1" ht="18" customHeight="1" x14ac:dyDescent="0.25">
      <c r="C89" s="186" t="s">
        <v>379</v>
      </c>
      <c r="D89" s="186"/>
      <c r="E89" s="187"/>
      <c r="F89" s="186"/>
      <c r="G89" s="186"/>
      <c r="M89" s="35">
        <f t="shared" si="73"/>
        <v>13963076.475152902</v>
      </c>
      <c r="P89" s="36" t="s">
        <v>154</v>
      </c>
      <c r="Q89" s="37">
        <v>3.3880338803387998E-2</v>
      </c>
      <c r="S89" s="22" t="s">
        <v>154</v>
      </c>
      <c r="T89" s="61">
        <f>($C$5+$D$5+$E$5+$F$5+$G$5+$H$5+$I$5+$J$5+$K$5)*Table53[[#This Row],[Locality''s Allocation Percentage ]]</f>
        <v>137767.93285203361</v>
      </c>
      <c r="U89" s="61">
        <f>($C$6+$D$6+$E$6+$F$6+$G$6+$H$6+$I$6+$J$6+$K$6)*Table53[[#This Row],[Locality''s Allocation Percentage ]]</f>
        <v>872146.12458563759</v>
      </c>
      <c r="V89" s="61">
        <f>($C$7+$D$7+$E$7+$F$7+$G$7+$H$7+$I$7+$J$7+$K$7)*Table53[[#This Row],[Locality''s Allocation Percentage ]]</f>
        <v>1075579.3362194914</v>
      </c>
      <c r="W89" s="61">
        <f>($C$8+$D$8+$E$8+$F$8+$G$8+$H$8+$I$8+$J$8+$K$8)*Table53[[#This Row],[Locality''s Allocation Percentage ]]</f>
        <v>412482.29432145203</v>
      </c>
      <c r="X89" s="61">
        <f>($C$9+$D$9+$E$9+$F$9+$G$9+$H$9+$I$9+$J$9+$K$9)*Table53[[#This Row],[Locality''s Allocation Percentage ]]</f>
        <v>443238.88134102407</v>
      </c>
      <c r="Y89" s="61">
        <f>($C$10+$D$10+$E$10+$F$10+$G$10+$H$10+$I$10+$J$10+$K$10)*Table53[[#This Row],[Locality''s Allocation Percentage ]]</f>
        <v>471057.17366489809</v>
      </c>
      <c r="Z89" s="61">
        <f>($C$11+$D$11+$E$11+$F$11+$G$11+$H$11+$I$11+$J$11+$K$11)*Table53[[#This Row],[Locality''s Allocation Percentage ]]</f>
        <v>358880.80655147089</v>
      </c>
      <c r="AA89" s="61">
        <f>($C$12+$D$12+$E$12+$F$12+$G$12+$H$12+$I$12+$J$12+$K$12)*Table53[[#This Row],[Locality''s Allocation Percentage ]]</f>
        <v>502974.06463098136</v>
      </c>
      <c r="AB89" s="61">
        <f>($C$13+$D$13+$E$13+$F$13+$G$13+$H$13+$I$13+$J$13+$K$13)*Table53[[#This Row],[Locality''s Allocation Percentage ]]</f>
        <v>505262.56418520847</v>
      </c>
      <c r="AC89" s="61">
        <f>($C$14+$D$14+$E$14+$F$14+$G$14+$H$14+$I$14+$J$14+$K$14)*Table53[[#This Row],[Locality''s Allocation Percentage ]]</f>
        <v>473073.76171579701</v>
      </c>
      <c r="AD89" s="61">
        <f>($C$15+$D$15+$E$15+$F$15+$G$15+$H$15+$I$15+$J$15+$K$15)*Table53[[#This Row],[Locality''s Allocation Percentage ]]</f>
        <v>439015.34744829644</v>
      </c>
      <c r="AE89" s="61">
        <f>($C$16+$D$16+$E$16+$F$16+$G$16+$H$16+$I$16+$J$16+$K$16)*Table53[[#This Row],[Locality''s Allocation Percentage ]]</f>
        <v>403597.7956295773</v>
      </c>
      <c r="AF89" s="61">
        <f>($C$17+$D$17+$E$17+$F$17+$G$17+$H$17+$I$17+$J$17+$K$17)*Table53[[#This Row],[Locality''s Allocation Percentage ]]</f>
        <v>308004.10483042937</v>
      </c>
      <c r="AG89" s="61">
        <f>($C$18+$D$18+$E$18+$F$18+$G$18+$H$18+$I$18+$J$18+$K$18)*Table53[[#This Row],[Locality''s Allocation Percentage ]]</f>
        <v>308004.10483042937</v>
      </c>
      <c r="AH89" s="61">
        <f>($C$19+$D$19+$E$19+$F$19+$G$19+$H$19+$I$19+$J$19+$K$19)*Table53[[#This Row],[Locality''s Allocation Percentage ]]</f>
        <v>308004.10483042937</v>
      </c>
      <c r="AI89" s="61">
        <f>($C$20+$D$20+$E$20+$F$20+$G$20+$H$20+$I$20+$J$20+$K$20)*Table53[[#This Row],[Locality''s Allocation Percentage ]]</f>
        <v>255906.7146783279</v>
      </c>
      <c r="AJ89" s="61">
        <f>($C$21+$D$21+$E$21+$F$21+$G$21+$H$21+$I$21+$J$21+$K$21)*Table53[[#This Row],[Locality''s Allocation Percentage ]]</f>
        <v>255906.7146783279</v>
      </c>
      <c r="AK89" s="61">
        <f>($C$22+$D$22+$E$22+$F$22+$G$22+$H$22+$I$22+$J$22+$K$22)*Table53[[#This Row],[Locality''s Allocation Percentage ]]</f>
        <v>179164.67926997392</v>
      </c>
      <c r="AL89" s="61"/>
      <c r="AM89" s="61"/>
      <c r="AN89" s="61">
        <f>$L$6*Table53[[#This Row],[Locality''s Allocation Percentage ]]</f>
        <v>315588.24158412835</v>
      </c>
      <c r="AO89" s="61">
        <f>$L$7*Table53[[#This Row],[Locality''s Allocation Percentage ]]</f>
        <v>365309.62543610111</v>
      </c>
      <c r="AP89" s="61">
        <f>$L$8*Table53[[#This Row],[Locality''s Allocation Percentage ]]</f>
        <v>142256.74926657125</v>
      </c>
      <c r="AQ89" s="61">
        <f>$L$9*Table53[[#This Row],[Locality''s Allocation Percentage ]]</f>
        <v>156078.10944485571</v>
      </c>
      <c r="AR89" s="61">
        <f>$L$10*Table53[[#This Row],[Locality''s Allocation Percentage ]]</f>
        <v>166278.1499636095</v>
      </c>
      <c r="AS89" s="61">
        <f>$L$11*Table53[[#This Row],[Locality''s Allocation Percentage ]]</f>
        <v>125146.81535535285</v>
      </c>
      <c r="AT89" s="61">
        <f>$L$12*Table53[[#This Row],[Locality''s Allocation Percentage ]]</f>
        <v>177981.0099845067</v>
      </c>
      <c r="AU89" s="61">
        <f>$L$13*Table53[[#This Row],[Locality''s Allocation Percentage ]]</f>
        <v>179049.2181154236</v>
      </c>
      <c r="AV89" s="61">
        <f>$L$14*Table53[[#This Row],[Locality''s Allocation Percentage ]]</f>
        <v>166519.21946310857</v>
      </c>
      <c r="AW89" s="61">
        <f>$L$15*Table53[[#This Row],[Locality''s Allocation Percentage ]]</f>
        <v>154034.77002571366</v>
      </c>
      <c r="AX89" s="61">
        <f>$L$16*Table53[[#This Row],[Locality''s Allocation Percentage ]]</f>
        <v>141048.33435884994</v>
      </c>
      <c r="AY89" s="61">
        <f>$L$17*Table53[[#This Row],[Locality''s Allocation Percentage ]]</f>
        <v>110120.96380618446</v>
      </c>
      <c r="AZ89" s="61">
        <f>$L$18*Table53[[#This Row],[Locality''s Allocation Percentage ]]</f>
        <v>110120.96380618446</v>
      </c>
      <c r="BA89" s="61">
        <f>$L$19*Table53[[#This Row],[Locality''s Allocation Percentage ]]</f>
        <v>110120.96380618446</v>
      </c>
      <c r="BB89" s="61">
        <f>$L$20*Table53[[#This Row],[Locality''s Allocation Percentage ]]</f>
        <v>91018.587417080591</v>
      </c>
      <c r="BC89" s="61">
        <f>$L$21*Table53[[#This Row],[Locality''s Allocation Percentage ]]</f>
        <v>91018.587417080591</v>
      </c>
      <c r="BD89" s="61">
        <f>$L$22*Table53[[#This Row],[Locality''s Allocation Percentage ]]</f>
        <v>65693.715732323762</v>
      </c>
      <c r="BE89" s="61"/>
      <c r="BF89" s="61">
        <f t="shared" si="70"/>
        <v>0</v>
      </c>
      <c r="BG89" s="61">
        <f t="shared" si="70"/>
        <v>78897.060396032088</v>
      </c>
      <c r="BH89" s="61">
        <f t="shared" si="75"/>
        <v>91327.406359025277</v>
      </c>
      <c r="BI89" s="61">
        <f t="shared" si="76"/>
        <v>35564.187316642812</v>
      </c>
      <c r="BJ89" s="61">
        <f t="shared" si="77"/>
        <v>39019.527361213928</v>
      </c>
      <c r="BK89" s="61">
        <f t="shared" si="78"/>
        <v>41569.537490902374</v>
      </c>
      <c r="BL89" s="61">
        <f t="shared" si="79"/>
        <v>31286.703838838213</v>
      </c>
      <c r="BM89" s="61">
        <f t="shared" si="80"/>
        <v>44495.252496126675</v>
      </c>
      <c r="BN89" s="61">
        <f t="shared" si="81"/>
        <v>44762.304528855901</v>
      </c>
      <c r="BO89" s="61">
        <f t="shared" si="82"/>
        <v>41629.804865777143</v>
      </c>
      <c r="BP89" s="61">
        <f t="shared" si="83"/>
        <v>38508.692506428415</v>
      </c>
      <c r="BQ89" s="61">
        <f t="shared" si="84"/>
        <v>35262.083589712485</v>
      </c>
      <c r="BR89" s="61">
        <f t="shared" si="85"/>
        <v>27530.240951546115</v>
      </c>
      <c r="BS89" s="61">
        <f t="shared" si="86"/>
        <v>27530.240951546115</v>
      </c>
      <c r="BT89" s="61">
        <f t="shared" si="87"/>
        <v>27530.240951546115</v>
      </c>
      <c r="BU89" s="61">
        <f t="shared" si="88"/>
        <v>22754.646854270148</v>
      </c>
      <c r="BV89" s="61">
        <f t="shared" si="89"/>
        <v>22754.646854270148</v>
      </c>
      <c r="BW89" s="61">
        <f t="shared" si="74"/>
        <v>16423.428933080941</v>
      </c>
      <c r="BX89" s="61"/>
      <c r="BY89" s="61">
        <f>($C$6+$D$6+$E$6)*Table53[[#This Row],[Locality''s Allocation Percentage ]]</f>
        <v>872146.12458563759</v>
      </c>
      <c r="BZ89" s="61">
        <f>$L$6*Table53[[#This Row],[Locality''s Allocation Percentage ]]</f>
        <v>315588.24158412835</v>
      </c>
      <c r="CA89" s="61">
        <f t="shared" si="71"/>
        <v>78897.060396032088</v>
      </c>
      <c r="CB89" s="76">
        <f>($C$7+$D$7+$E$7)*Table53[[#This Row],[Locality''s Allocation Percentage ]]</f>
        <v>314529.80728432297</v>
      </c>
      <c r="CC89" s="76">
        <f>$L$7*Table53[[#This Row],[Locality''s Allocation Percentage ]]</f>
        <v>365309.62543610111</v>
      </c>
      <c r="CD89" s="76">
        <f t="shared" si="72"/>
        <v>91327.406359025277</v>
      </c>
    </row>
    <row r="90" spans="3:82" s="19" customFormat="1" ht="18" customHeight="1" x14ac:dyDescent="0.25">
      <c r="M90" s="35">
        <f t="shared" si="73"/>
        <v>12957820.463247413</v>
      </c>
      <c r="P90" s="36" t="s">
        <v>284</v>
      </c>
      <c r="Q90" s="37">
        <v>1.2200122001220001E-3</v>
      </c>
      <c r="S90" s="22" t="s">
        <v>155</v>
      </c>
      <c r="T90" s="61">
        <f>($C$5+$D$5+$E$5+$F$5+$G$5+$H$5+$I$5+$J$5+$K$5)*Table53[[#This Row],[Locality''s Allocation Percentage ]]</f>
        <v>4960.9468146245881</v>
      </c>
      <c r="U90" s="61">
        <f>($C$6+$D$6+$E$6+$F$6+$G$6+$H$6+$I$6+$J$6+$K$6)*Table53[[#This Row],[Locality''s Allocation Percentage ]]</f>
        <v>31405.497992753189</v>
      </c>
      <c r="V90" s="61">
        <f>($C$7+$D$7+$E$7+$F$7+$G$7+$H$7+$I$7+$J$7+$K$7)*Table53[[#This Row],[Locality''s Allocation Percentage ]]</f>
        <v>38731.015058671182</v>
      </c>
      <c r="W90" s="61">
        <f>($C$8+$D$8+$E$8+$F$8+$G$8+$H$8+$I$8+$J$8+$K$8)*Table53[[#This Row],[Locality''s Allocation Percentage ]]</f>
        <v>14853.258532236468</v>
      </c>
      <c r="X90" s="61">
        <f>($C$9+$D$9+$E$9+$F$9+$G$9+$H$9+$I$9+$J$9+$K$9)*Table53[[#This Row],[Locality''s Allocation Percentage ]]</f>
        <v>15960.786163992014</v>
      </c>
      <c r="Y90" s="61">
        <f>($C$10+$D$10+$E$10+$F$10+$G$10+$H$10+$I$10+$J$10+$K$10)*Table53[[#This Row],[Locality''s Allocation Percentage ]]</f>
        <v>16962.50743421416</v>
      </c>
      <c r="Z90" s="61">
        <f>($C$11+$D$11+$E$11+$F$11+$G$11+$H$11+$I$11+$J$11+$K$11)*Table53[[#This Row],[Locality''s Allocation Percentage ]]</f>
        <v>12923.098701086024</v>
      </c>
      <c r="AA90" s="61">
        <f>($C$12+$D$12+$E$12+$F$12+$G$12+$H$12+$I$12+$J$12+$K$12)*Table53[[#This Row],[Locality''s Allocation Percentage ]]</f>
        <v>18111.816967231323</v>
      </c>
      <c r="AB90" s="61">
        <f>($C$13+$D$13+$E$13+$F$13+$G$13+$H$13+$I$13+$J$13+$K$13)*Table53[[#This Row],[Locality''s Allocation Percentage ]]</f>
        <v>18194.224566291454</v>
      </c>
      <c r="AC90" s="61">
        <f>($C$14+$D$14+$E$14+$F$14+$G$14+$H$14+$I$14+$J$14+$K$14)*Table53[[#This Row],[Locality''s Allocation Percentage ]]</f>
        <v>17035.123650923033</v>
      </c>
      <c r="AD90" s="61">
        <f>($C$15+$D$15+$E$15+$F$15+$G$15+$H$15+$I$15+$J$15+$K$15)*Table53[[#This Row],[Locality''s Allocation Percentage ]]</f>
        <v>15808.699052152353</v>
      </c>
      <c r="AE90" s="61">
        <f>($C$16+$D$16+$E$16+$F$16+$G$16+$H$16+$I$16+$J$16+$K$16)*Table53[[#This Row],[Locality''s Allocation Percentage ]]</f>
        <v>14533.332664347236</v>
      </c>
      <c r="AF90" s="61">
        <f>($C$17+$D$17+$E$17+$F$17+$G$17+$H$17+$I$17+$J$17+$K$17)*Table53[[#This Row],[Locality''s Allocation Percentage ]]</f>
        <v>11091.056903575085</v>
      </c>
      <c r="AG90" s="61">
        <f>($C$18+$D$18+$E$18+$F$18+$G$18+$H$18+$I$18+$J$18+$K$18)*Table53[[#This Row],[Locality''s Allocation Percentage ]]</f>
        <v>11091.056903575085</v>
      </c>
      <c r="AH90" s="61">
        <f>($C$19+$D$19+$E$19+$F$19+$G$19+$H$19+$I$19+$J$19+$K$19)*Table53[[#This Row],[Locality''s Allocation Percentage ]]</f>
        <v>11091.056903575085</v>
      </c>
      <c r="AI90" s="61">
        <f>($C$20+$D$20+$E$20+$F$20+$G$20+$H$20+$I$20+$J$20+$K$20)*Table53[[#This Row],[Locality''s Allocation Percentage ]]</f>
        <v>9215.0587930212532</v>
      </c>
      <c r="AJ90" s="61">
        <f>($C$21+$D$21+$E$21+$F$21+$G$21+$H$21+$I$21+$J$21+$K$21)*Table53[[#This Row],[Locality''s Allocation Percentage ]]</f>
        <v>9215.0587930212532</v>
      </c>
      <c r="AK90" s="61">
        <f>($C$22+$D$22+$E$22+$F$22+$G$22+$H$22+$I$22+$J$22+$K$22)*Table53[[#This Row],[Locality''s Allocation Percentage ]]</f>
        <v>6451.6206820946936</v>
      </c>
      <c r="AL90" s="61"/>
      <c r="AM90" s="61"/>
      <c r="AN90" s="61">
        <f>$L$6*Table53[[#This Row],[Locality''s Allocation Percentage ]]</f>
        <v>11364.157459640988</v>
      </c>
      <c r="AO90" s="61">
        <f>$L$7*Table53[[#This Row],[Locality''s Allocation Percentage ]]</f>
        <v>13154.596901772238</v>
      </c>
      <c r="AP90" s="61">
        <f>$L$8*Table53[[#This Row],[Locality''s Allocation Percentage ]]</f>
        <v>5122.58660286945</v>
      </c>
      <c r="AQ90" s="61">
        <f>$L$9*Table53[[#This Row],[Locality''s Allocation Percentage ]]</f>
        <v>5620.2861134216055</v>
      </c>
      <c r="AR90" s="61">
        <f>$L$10*Table53[[#This Row],[Locality''s Allocation Percentage ]]</f>
        <v>5987.5839125030589</v>
      </c>
      <c r="AS90" s="61">
        <f>$L$11*Table53[[#This Row],[Locality''s Allocation Percentage ]]</f>
        <v>4506.4673770227419</v>
      </c>
      <c r="AT90" s="61">
        <f>$L$12*Table53[[#This Row],[Locality''s Allocation Percentage ]]</f>
        <v>6408.9974079426856</v>
      </c>
      <c r="AU90" s="61">
        <f>$L$13*Table53[[#This Row],[Locality''s Allocation Percentage ]]</f>
        <v>6447.4629899886895</v>
      </c>
      <c r="AV90" s="61">
        <f>$L$14*Table53[[#This Row],[Locality''s Allocation Percentage ]]</f>
        <v>5996.2646914106399</v>
      </c>
      <c r="AW90" s="61">
        <f>$L$15*Table53[[#This Row],[Locality''s Allocation Percentage ]]</f>
        <v>5546.7065947866195</v>
      </c>
      <c r="AX90" s="61">
        <f>$L$16*Table53[[#This Row],[Locality''s Allocation Percentage ]]</f>
        <v>5079.0722525914098</v>
      </c>
      <c r="AY90" s="61">
        <f>$L$17*Table53[[#This Row],[Locality''s Allocation Percentage ]]</f>
        <v>3965.3948005768907</v>
      </c>
      <c r="AZ90" s="61">
        <f>$L$18*Table53[[#This Row],[Locality''s Allocation Percentage ]]</f>
        <v>3965.3948005768907</v>
      </c>
      <c r="BA90" s="61">
        <f>$L$19*Table53[[#This Row],[Locality''s Allocation Percentage ]]</f>
        <v>3965.3948005768907</v>
      </c>
      <c r="BB90" s="61">
        <f>$L$20*Table53[[#This Row],[Locality''s Allocation Percentage ]]</f>
        <v>3277.5288267071528</v>
      </c>
      <c r="BC90" s="61">
        <f>$L$21*Table53[[#This Row],[Locality''s Allocation Percentage ]]</f>
        <v>3277.5288267071528</v>
      </c>
      <c r="BD90" s="61">
        <f>$L$22*Table53[[#This Row],[Locality''s Allocation Percentage ]]</f>
        <v>2365.5942501013874</v>
      </c>
      <c r="BE90" s="61"/>
      <c r="BF90" s="61">
        <f t="shared" si="70"/>
        <v>0</v>
      </c>
      <c r="BG90" s="61">
        <f t="shared" si="70"/>
        <v>2841.0393649102471</v>
      </c>
      <c r="BH90" s="61">
        <f t="shared" si="75"/>
        <v>3288.6492254430595</v>
      </c>
      <c r="BI90" s="61">
        <f t="shared" si="76"/>
        <v>1280.6466507173625</v>
      </c>
      <c r="BJ90" s="61">
        <f t="shared" si="77"/>
        <v>1405.0715283554014</v>
      </c>
      <c r="BK90" s="61">
        <f t="shared" si="78"/>
        <v>1496.8959781257647</v>
      </c>
      <c r="BL90" s="61">
        <f t="shared" si="79"/>
        <v>1126.6168442556855</v>
      </c>
      <c r="BM90" s="61">
        <f t="shared" si="80"/>
        <v>1602.2493519856714</v>
      </c>
      <c r="BN90" s="61">
        <f t="shared" si="81"/>
        <v>1611.8657474971724</v>
      </c>
      <c r="BO90" s="61">
        <f t="shared" si="82"/>
        <v>1499.06617285266</v>
      </c>
      <c r="BP90" s="61">
        <f t="shared" si="83"/>
        <v>1386.6766486966549</v>
      </c>
      <c r="BQ90" s="61">
        <f t="shared" si="84"/>
        <v>1269.7680631478524</v>
      </c>
      <c r="BR90" s="61">
        <f t="shared" si="85"/>
        <v>991.34870014422268</v>
      </c>
      <c r="BS90" s="61">
        <f t="shared" si="86"/>
        <v>991.34870014422268</v>
      </c>
      <c r="BT90" s="61">
        <f t="shared" si="87"/>
        <v>991.34870014422268</v>
      </c>
      <c r="BU90" s="61">
        <f t="shared" si="88"/>
        <v>819.3822066767882</v>
      </c>
      <c r="BV90" s="61">
        <f t="shared" si="89"/>
        <v>819.3822066767882</v>
      </c>
      <c r="BW90" s="61">
        <f t="shared" si="74"/>
        <v>591.39856252534685</v>
      </c>
      <c r="BX90" s="61"/>
      <c r="BY90" s="61">
        <f>($C$6+$D$6+$E$6)*Table53[[#This Row],[Locality''s Allocation Percentage ]]</f>
        <v>31405.497992753189</v>
      </c>
      <c r="BZ90" s="61">
        <f>$L$6*Table53[[#This Row],[Locality''s Allocation Percentage ]]</f>
        <v>11364.157459640988</v>
      </c>
      <c r="CA90" s="61">
        <f t="shared" si="71"/>
        <v>2841.0393649102471</v>
      </c>
      <c r="CB90" s="76">
        <f>($C$7+$D$7+$E$7)*Table53[[#This Row],[Locality''s Allocation Percentage ]]</f>
        <v>11326.043827829813</v>
      </c>
      <c r="CC90" s="76">
        <f>$L$7*Table53[[#This Row],[Locality''s Allocation Percentage ]]</f>
        <v>13154.596901772238</v>
      </c>
      <c r="CD90" s="76">
        <f t="shared" si="72"/>
        <v>3288.6492254430595</v>
      </c>
    </row>
    <row r="91" spans="3:82" s="19" customFormat="1" ht="18" customHeight="1" x14ac:dyDescent="0.25">
      <c r="M91" s="35">
        <f t="shared" si="73"/>
        <v>11912448.631984103</v>
      </c>
      <c r="P91" s="36" t="s">
        <v>285</v>
      </c>
      <c r="Q91" s="37">
        <v>1.2900129001290001E-3</v>
      </c>
      <c r="S91" s="22" t="s">
        <v>156</v>
      </c>
      <c r="T91" s="61">
        <f>($C$5+$D$5+$E$5+$F$5+$G$5+$H$5+$I$5+$J$5+$K$5)*Table53[[#This Row],[Locality''s Allocation Percentage ]]</f>
        <v>5245.5913039882935</v>
      </c>
      <c r="U91" s="61">
        <f>($C$6+$D$6+$E$6+$F$6+$G$6+$H$6+$I$6+$J$6+$K$6)*Table53[[#This Row],[Locality''s Allocation Percentage ]]</f>
        <v>33207.452795616075</v>
      </c>
      <c r="V91" s="61">
        <f>($C$7+$D$7+$E$7+$F$7+$G$7+$H$7+$I$7+$J$7+$K$7)*Table53[[#This Row],[Locality''s Allocation Percentage ]]</f>
        <v>40953.286414496579</v>
      </c>
      <c r="W91" s="61">
        <f>($C$8+$D$8+$E$8+$F$8+$G$8+$H$8+$I$8+$J$8+$K$8)*Table53[[#This Row],[Locality''s Allocation Percentage ]]</f>
        <v>15705.494677528724</v>
      </c>
      <c r="X91" s="61">
        <f>($C$9+$D$9+$E$9+$F$9+$G$9+$H$9+$I$9+$J$9+$K$9)*Table53[[#This Row],[Locality''s Allocation Percentage ]]</f>
        <v>16876.568976680082</v>
      </c>
      <c r="Y91" s="61">
        <f>($C$10+$D$10+$E$10+$F$10+$G$10+$H$10+$I$10+$J$10+$K$10)*Table53[[#This Row],[Locality''s Allocation Percentage ]]</f>
        <v>17935.766057488741</v>
      </c>
      <c r="Z91" s="61">
        <f>($C$11+$D$11+$E$11+$F$11+$G$11+$H$11+$I$11+$J$11+$K$11)*Table53[[#This Row],[Locality''s Allocation Percentage ]]</f>
        <v>13664.587970820468</v>
      </c>
      <c r="AA91" s="61">
        <f>($C$12+$D$12+$E$12+$F$12+$G$12+$H$12+$I$12+$J$12+$K$12)*Table53[[#This Row],[Locality''s Allocation Percentage ]]</f>
        <v>19151.019580105254</v>
      </c>
      <c r="AB91" s="61">
        <f>($C$13+$D$13+$E$13+$F$13+$G$13+$H$13+$I$13+$J$13+$K$13)*Table53[[#This Row],[Locality''s Allocation Percentage ]]</f>
        <v>19238.155484029488</v>
      </c>
      <c r="AC91" s="61">
        <f>($C$14+$D$14+$E$14+$F$14+$G$14+$H$14+$I$14+$J$14+$K$14)*Table53[[#This Row],[Locality''s Allocation Percentage ]]</f>
        <v>18012.548778435012</v>
      </c>
      <c r="AD91" s="61">
        <f>($C$15+$D$15+$E$15+$F$15+$G$15+$H$15+$I$15+$J$15+$K$15)*Table53[[#This Row],[Locality''s Allocation Percentage ]]</f>
        <v>16715.7555551447</v>
      </c>
      <c r="AE91" s="61">
        <f>($C$16+$D$16+$E$16+$F$16+$G$16+$H$16+$I$16+$J$16+$K$16)*Table53[[#This Row],[Locality''s Allocation Percentage ]]</f>
        <v>15367.212407383553</v>
      </c>
      <c r="AF91" s="61">
        <f>($C$17+$D$17+$E$17+$F$17+$G$17+$H$17+$I$17+$J$17+$K$17)*Table53[[#This Row],[Locality''s Allocation Percentage ]]</f>
        <v>11727.429020993328</v>
      </c>
      <c r="AG91" s="61">
        <f>($C$18+$D$18+$E$18+$F$18+$G$18+$H$18+$I$18+$J$18+$K$18)*Table53[[#This Row],[Locality''s Allocation Percentage ]]</f>
        <v>11727.429020993328</v>
      </c>
      <c r="AH91" s="61">
        <f>($C$19+$D$19+$E$19+$F$19+$G$19+$H$19+$I$19+$J$19+$K$19)*Table53[[#This Row],[Locality''s Allocation Percentage ]]</f>
        <v>11727.429020993328</v>
      </c>
      <c r="AI91" s="61">
        <f>($C$20+$D$20+$E$20+$F$20+$G$20+$H$20+$I$20+$J$20+$K$20)*Table53[[#This Row],[Locality''s Allocation Percentage ]]</f>
        <v>9743.7916745880466</v>
      </c>
      <c r="AJ91" s="61">
        <f>($C$21+$D$21+$E$21+$F$21+$G$21+$H$21+$I$21+$J$21+$K$21)*Table53[[#This Row],[Locality''s Allocation Percentage ]]</f>
        <v>9743.7916745880466</v>
      </c>
      <c r="AK91" s="61">
        <f>($C$22+$D$22+$E$22+$F$22+$G$22+$H$22+$I$22+$J$22+$K$22)*Table53[[#This Row],[Locality''s Allocation Percentage ]]</f>
        <v>6821.7956392640617</v>
      </c>
      <c r="AL91" s="61"/>
      <c r="AM91" s="61"/>
      <c r="AN91" s="61">
        <f>$L$6*Table53[[#This Row],[Locality''s Allocation Percentage ]]</f>
        <v>12016.199281095798</v>
      </c>
      <c r="AO91" s="61">
        <f>$L$7*Table53[[#This Row],[Locality''s Allocation Percentage ]]</f>
        <v>13909.368855152612</v>
      </c>
      <c r="AP91" s="61">
        <f>$L$8*Table53[[#This Row],[Locality''s Allocation Percentage ]]</f>
        <v>5416.5055063127793</v>
      </c>
      <c r="AQ91" s="61">
        <f>$L$9*Table53[[#This Row],[Locality''s Allocation Percentage ]]</f>
        <v>5942.7615461589103</v>
      </c>
      <c r="AR91" s="61">
        <f>$L$10*Table53[[#This Row],[Locality''s Allocation Percentage ]]</f>
        <v>6331.1338091220869</v>
      </c>
      <c r="AS91" s="61">
        <f>$L$11*Table53[[#This Row],[Locality''s Allocation Percentage ]]</f>
        <v>4765.0351773437187</v>
      </c>
      <c r="AT91" s="61">
        <f>$L$12*Table53[[#This Row],[Locality''s Allocation Percentage ]]</f>
        <v>6776.7267674148079</v>
      </c>
      <c r="AU91" s="61">
        <f>$L$13*Table53[[#This Row],[Locality''s Allocation Percentage ]]</f>
        <v>6817.3993910536146</v>
      </c>
      <c r="AV91" s="61">
        <f>$L$14*Table53[[#This Row],[Locality''s Allocation Percentage ]]</f>
        <v>6340.3126655079723</v>
      </c>
      <c r="AW91" s="61">
        <f>$L$15*Table53[[#This Row],[Locality''s Allocation Percentage ]]</f>
        <v>5864.9602518645406</v>
      </c>
      <c r="AX91" s="61">
        <f>$L$16*Table53[[#This Row],[Locality''s Allocation Percentage ]]</f>
        <v>5370.4944310187857</v>
      </c>
      <c r="AY91" s="61">
        <f>$L$17*Table53[[#This Row],[Locality''s Allocation Percentage ]]</f>
        <v>4192.917453069007</v>
      </c>
      <c r="AZ91" s="61">
        <f>$L$18*Table53[[#This Row],[Locality''s Allocation Percentage ]]</f>
        <v>4192.917453069007</v>
      </c>
      <c r="BA91" s="61">
        <f>$L$19*Table53[[#This Row],[Locality''s Allocation Percentage ]]</f>
        <v>4192.917453069007</v>
      </c>
      <c r="BB91" s="61">
        <f>$L$20*Table53[[#This Row],[Locality''s Allocation Percentage ]]</f>
        <v>3465.5837593870715</v>
      </c>
      <c r="BC91" s="61">
        <f>$L$21*Table53[[#This Row],[Locality''s Allocation Percentage ]]</f>
        <v>3465.5837593870715</v>
      </c>
      <c r="BD91" s="61">
        <f>$L$22*Table53[[#This Row],[Locality''s Allocation Percentage ]]</f>
        <v>2501.3250677301558</v>
      </c>
      <c r="BE91" s="61"/>
      <c r="BF91" s="61">
        <f t="shared" si="70"/>
        <v>0</v>
      </c>
      <c r="BG91" s="61">
        <f t="shared" si="70"/>
        <v>3004.0498202739495</v>
      </c>
      <c r="BH91" s="61">
        <f t="shared" si="75"/>
        <v>3477.342213788153</v>
      </c>
      <c r="BI91" s="61">
        <f t="shared" si="76"/>
        <v>1354.1263765781948</v>
      </c>
      <c r="BJ91" s="61">
        <f t="shared" si="77"/>
        <v>1485.6903865397276</v>
      </c>
      <c r="BK91" s="61">
        <f t="shared" si="78"/>
        <v>1582.7834522805217</v>
      </c>
      <c r="BL91" s="61">
        <f t="shared" si="79"/>
        <v>1191.2587943359297</v>
      </c>
      <c r="BM91" s="61">
        <f t="shared" si="80"/>
        <v>1694.181691853702</v>
      </c>
      <c r="BN91" s="61">
        <f t="shared" si="81"/>
        <v>1704.3498477634037</v>
      </c>
      <c r="BO91" s="61">
        <f t="shared" si="82"/>
        <v>1585.0781663769931</v>
      </c>
      <c r="BP91" s="61">
        <f t="shared" si="83"/>
        <v>1466.2400629661352</v>
      </c>
      <c r="BQ91" s="61">
        <f t="shared" si="84"/>
        <v>1342.6236077546964</v>
      </c>
      <c r="BR91" s="61">
        <f t="shared" si="85"/>
        <v>1048.2293632672518</v>
      </c>
      <c r="BS91" s="61">
        <f t="shared" si="86"/>
        <v>1048.2293632672518</v>
      </c>
      <c r="BT91" s="61">
        <f t="shared" si="87"/>
        <v>1048.2293632672518</v>
      </c>
      <c r="BU91" s="61">
        <f t="shared" si="88"/>
        <v>866.39593984676787</v>
      </c>
      <c r="BV91" s="61">
        <f t="shared" si="89"/>
        <v>866.39593984676787</v>
      </c>
      <c r="BW91" s="61">
        <f t="shared" si="74"/>
        <v>625.33126693253894</v>
      </c>
      <c r="BX91" s="61"/>
      <c r="BY91" s="61">
        <f>($C$6+$D$6+$E$6)*Table53[[#This Row],[Locality''s Allocation Percentage ]]</f>
        <v>33207.452795616075</v>
      </c>
      <c r="BZ91" s="61">
        <f>$L$6*Table53[[#This Row],[Locality''s Allocation Percentage ]]</f>
        <v>12016.199281095798</v>
      </c>
      <c r="CA91" s="61">
        <f t="shared" si="71"/>
        <v>3004.0498202739495</v>
      </c>
      <c r="CB91" s="76">
        <f>($C$7+$D$7+$E$7)*Table53[[#This Row],[Locality''s Allocation Percentage ]]</f>
        <v>11975.898801557754</v>
      </c>
      <c r="CC91" s="76">
        <f>$L$7*Table53[[#This Row],[Locality''s Allocation Percentage ]]</f>
        <v>13909.368855152612</v>
      </c>
      <c r="CD91" s="76">
        <f t="shared" si="72"/>
        <v>3477.342213788153</v>
      </c>
    </row>
    <row r="92" spans="3:82" s="19" customFormat="1" ht="18" customHeight="1" x14ac:dyDescent="0.25">
      <c r="M92" s="35">
        <f t="shared" si="73"/>
        <v>9090939.338529557</v>
      </c>
      <c r="P92" s="36" t="s">
        <v>157</v>
      </c>
      <c r="Q92" s="37">
        <v>1.10001100011E-3</v>
      </c>
      <c r="S92" s="22" t="s">
        <v>157</v>
      </c>
      <c r="T92" s="61">
        <f>($C$5+$D$5+$E$5+$F$5+$G$5+$H$5+$I$5+$J$5+$K$5)*Table53[[#This Row],[Locality''s Allocation Percentage ]]</f>
        <v>4472.9848328582348</v>
      </c>
      <c r="U92" s="61">
        <f>($C$6+$D$6+$E$6+$F$6+$G$6+$H$6+$I$6+$J$6+$K$6)*Table53[[#This Row],[Locality''s Allocation Percentage ]]</f>
        <v>28316.432616416809</v>
      </c>
      <c r="V92" s="61">
        <f>($C$7+$D$7+$E$7+$F$7+$G$7+$H$7+$I$7+$J$7+$K$7)*Table53[[#This Row],[Locality''s Allocation Percentage ]]</f>
        <v>34921.407020113358</v>
      </c>
      <c r="W92" s="61">
        <f>($C$8+$D$8+$E$8+$F$8+$G$8+$H$8+$I$8+$J$8+$K$8)*Table53[[#This Row],[Locality''s Allocation Percentage ]]</f>
        <v>13392.282283164028</v>
      </c>
      <c r="X92" s="61">
        <f>($C$9+$D$9+$E$9+$F$9+$G$9+$H$9+$I$9+$J$9+$K$9)*Table53[[#This Row],[Locality''s Allocation Percentage ]]</f>
        <v>14390.872770812472</v>
      </c>
      <c r="Y92" s="61">
        <f>($C$10+$D$10+$E$10+$F$10+$G$10+$H$10+$I$10+$J$10+$K$10)*Table53[[#This Row],[Locality''s Allocation Percentage ]]</f>
        <v>15294.06408002916</v>
      </c>
      <c r="Z92" s="61">
        <f>($C$11+$D$11+$E$11+$F$11+$G$11+$H$11+$I$11+$J$11+$K$11)*Table53[[#This Row],[Locality''s Allocation Percentage ]]</f>
        <v>11651.974238684121</v>
      </c>
      <c r="AA92" s="61">
        <f>($C$12+$D$12+$E$12+$F$12+$G$12+$H$12+$I$12+$J$12+$K$12)*Table53[[#This Row],[Locality''s Allocation Percentage ]]</f>
        <v>16330.326773733163</v>
      </c>
      <c r="AB92" s="61">
        <f>($C$13+$D$13+$E$13+$F$13+$G$13+$H$13+$I$13+$J$13+$K$13)*Table53[[#This Row],[Locality''s Allocation Percentage ]]</f>
        <v>16404.628707311964</v>
      </c>
      <c r="AC92" s="61">
        <f>($C$14+$D$14+$E$14+$F$14+$G$14+$H$14+$I$14+$J$14+$K$14)*Table53[[#This Row],[Locality''s Allocation Percentage ]]</f>
        <v>15359.537718045358</v>
      </c>
      <c r="AD92" s="61">
        <f>($C$15+$D$15+$E$15+$F$15+$G$15+$H$15+$I$15+$J$15+$K$15)*Table53[[#This Row],[Locality''s Allocation Percentage ]]</f>
        <v>14253.745047022612</v>
      </c>
      <c r="AE92" s="61">
        <f>($C$16+$D$16+$E$16+$F$16+$G$16+$H$16+$I$16+$J$16+$K$16)*Table53[[#This Row],[Locality''s Allocation Percentage ]]</f>
        <v>13103.824533427834</v>
      </c>
      <c r="AF92" s="61">
        <f>($C$17+$D$17+$E$17+$F$17+$G$17+$H$17+$I$17+$J$17+$K$17)*Table53[[#This Row],[Locality''s Allocation Percentage ]]</f>
        <v>10000.133273715241</v>
      </c>
      <c r="AG92" s="61">
        <f>($C$18+$D$18+$E$18+$F$18+$G$18+$H$18+$I$18+$J$18+$K$18)*Table53[[#This Row],[Locality''s Allocation Percentage ]]</f>
        <v>10000.133273715241</v>
      </c>
      <c r="AH92" s="61">
        <f>($C$19+$D$19+$E$19+$F$19+$G$19+$H$19+$I$19+$J$19+$K$19)*Table53[[#This Row],[Locality''s Allocation Percentage ]]</f>
        <v>10000.133273715241</v>
      </c>
      <c r="AI92" s="61">
        <f>($C$20+$D$20+$E$20+$F$20+$G$20+$H$20+$I$20+$J$20+$K$20)*Table53[[#This Row],[Locality''s Allocation Percentage ]]</f>
        <v>8308.6595674781802</v>
      </c>
      <c r="AJ92" s="61">
        <f>($C$21+$D$21+$E$21+$F$21+$G$21+$H$21+$I$21+$J$21+$K$21)*Table53[[#This Row],[Locality''s Allocation Percentage ]]</f>
        <v>8308.6595674781802</v>
      </c>
      <c r="AK92" s="61">
        <f>($C$22+$D$22+$E$22+$F$22+$G$22+$H$22+$I$22+$J$22+$K$22)*Table53[[#This Row],[Locality''s Allocation Percentage ]]</f>
        <v>5817.0350412329208</v>
      </c>
      <c r="AL92" s="61"/>
      <c r="AM92" s="61"/>
      <c r="AN92" s="61">
        <f>$L$6*Table53[[#This Row],[Locality''s Allocation Percentage ]]</f>
        <v>10246.371480004169</v>
      </c>
      <c r="AO92" s="61">
        <f>$L$7*Table53[[#This Row],[Locality''s Allocation Percentage ]]</f>
        <v>11860.702124548739</v>
      </c>
      <c r="AP92" s="61">
        <f>$L$8*Table53[[#This Row],[Locality''s Allocation Percentage ]]</f>
        <v>4618.725625538028</v>
      </c>
      <c r="AQ92" s="61">
        <f>$L$9*Table53[[#This Row],[Locality''s Allocation Percentage ]]</f>
        <v>5067.4710858719391</v>
      </c>
      <c r="AR92" s="61">
        <f>$L$10*Table53[[#This Row],[Locality''s Allocation Percentage ]]</f>
        <v>5398.641232584725</v>
      </c>
      <c r="AS92" s="61">
        <f>$L$11*Table53[[#This Row],[Locality''s Allocation Percentage ]]</f>
        <v>4063.2082907582098</v>
      </c>
      <c r="AT92" s="61">
        <f>$L$12*Table53[[#This Row],[Locality''s Allocation Percentage ]]</f>
        <v>5778.6042202761919</v>
      </c>
      <c r="AU92" s="61">
        <f>$L$13*Table53[[#This Row],[Locality''s Allocation Percentage ]]</f>
        <v>5813.2863024488188</v>
      </c>
      <c r="AV92" s="61">
        <f>$L$14*Table53[[#This Row],[Locality''s Allocation Percentage ]]</f>
        <v>5406.4681643866425</v>
      </c>
      <c r="AW92" s="61">
        <f>$L$15*Table53[[#This Row],[Locality''s Allocation Percentage ]]</f>
        <v>5001.1288969387551</v>
      </c>
      <c r="AX92" s="61">
        <f>$L$16*Table53[[#This Row],[Locality''s Allocation Percentage ]]</f>
        <v>4579.4913752873363</v>
      </c>
      <c r="AY92" s="61">
        <f>$L$17*Table53[[#This Row],[Locality''s Allocation Percentage ]]</f>
        <v>3575.3559677332619</v>
      </c>
      <c r="AZ92" s="61">
        <f>$L$18*Table53[[#This Row],[Locality''s Allocation Percentage ]]</f>
        <v>3575.3559677332619</v>
      </c>
      <c r="BA92" s="61">
        <f>$L$19*Table53[[#This Row],[Locality''s Allocation Percentage ]]</f>
        <v>3575.3559677332619</v>
      </c>
      <c r="BB92" s="61">
        <f>$L$20*Table53[[#This Row],[Locality''s Allocation Percentage ]]</f>
        <v>2955.1489421130068</v>
      </c>
      <c r="BC92" s="61">
        <f>$L$21*Table53[[#This Row],[Locality''s Allocation Percentage ]]</f>
        <v>2955.1489421130068</v>
      </c>
      <c r="BD92" s="61">
        <f>$L$22*Table53[[#This Row],[Locality''s Allocation Percentage ]]</f>
        <v>2132.9128484520706</v>
      </c>
      <c r="BE92" s="61"/>
      <c r="BF92" s="61">
        <f t="shared" si="70"/>
        <v>0</v>
      </c>
      <c r="BG92" s="61">
        <f t="shared" si="70"/>
        <v>2561.5928700010422</v>
      </c>
      <c r="BH92" s="61">
        <f t="shared" si="75"/>
        <v>2965.1755311371849</v>
      </c>
      <c r="BI92" s="61">
        <f t="shared" si="76"/>
        <v>1154.681406384507</v>
      </c>
      <c r="BJ92" s="61">
        <f t="shared" si="77"/>
        <v>1266.8677714679848</v>
      </c>
      <c r="BK92" s="61">
        <f t="shared" si="78"/>
        <v>1349.6603081461813</v>
      </c>
      <c r="BL92" s="61">
        <f t="shared" si="79"/>
        <v>1015.8020726895525</v>
      </c>
      <c r="BM92" s="61">
        <f t="shared" si="80"/>
        <v>1444.651055069048</v>
      </c>
      <c r="BN92" s="61">
        <f t="shared" si="81"/>
        <v>1453.3215756122047</v>
      </c>
      <c r="BO92" s="61">
        <f t="shared" si="82"/>
        <v>1351.6170410966606</v>
      </c>
      <c r="BP92" s="61">
        <f t="shared" si="83"/>
        <v>1250.2822242346888</v>
      </c>
      <c r="BQ92" s="61">
        <f t="shared" si="84"/>
        <v>1144.8728438218341</v>
      </c>
      <c r="BR92" s="61">
        <f t="shared" si="85"/>
        <v>893.83899193331547</v>
      </c>
      <c r="BS92" s="61">
        <f t="shared" si="86"/>
        <v>893.83899193331547</v>
      </c>
      <c r="BT92" s="61">
        <f t="shared" si="87"/>
        <v>893.83899193331547</v>
      </c>
      <c r="BU92" s="61">
        <f t="shared" si="88"/>
        <v>738.7872355282517</v>
      </c>
      <c r="BV92" s="61">
        <f t="shared" si="89"/>
        <v>738.7872355282517</v>
      </c>
      <c r="BW92" s="61">
        <f t="shared" si="74"/>
        <v>533.22821211301766</v>
      </c>
      <c r="BX92" s="61"/>
      <c r="BY92" s="61">
        <f>($C$6+$D$6+$E$6)*Table53[[#This Row],[Locality''s Allocation Percentage ]]</f>
        <v>28316.432616416809</v>
      </c>
      <c r="BZ92" s="61">
        <f>$L$6*Table53[[#This Row],[Locality''s Allocation Percentage ]]</f>
        <v>10246.371480004169</v>
      </c>
      <c r="CA92" s="61">
        <f t="shared" si="71"/>
        <v>2561.5928700010422</v>
      </c>
      <c r="CB92" s="76">
        <f>($C$7+$D$7+$E$7)*Table53[[#This Row],[Locality''s Allocation Percentage ]]</f>
        <v>10212.006730010487</v>
      </c>
      <c r="CC92" s="76">
        <f>$L$7*Table53[[#This Row],[Locality''s Allocation Percentage ]]</f>
        <v>11860.702124548739</v>
      </c>
      <c r="CD92" s="76">
        <f t="shared" si="72"/>
        <v>2965.1755311371849</v>
      </c>
    </row>
    <row r="93" spans="3:82" s="19" customFormat="1" ht="18" customHeight="1" x14ac:dyDescent="0.25">
      <c r="M93" s="35">
        <f t="shared" si="73"/>
        <v>9090939.338529557</v>
      </c>
      <c r="P93" s="36" t="s">
        <v>286</v>
      </c>
      <c r="Q93" s="37">
        <v>1.3300133001329999E-3</v>
      </c>
      <c r="S93" s="22" t="s">
        <v>158</v>
      </c>
      <c r="T93" s="61">
        <f>($C$5+$D$5+$E$5+$F$5+$G$5+$H$5+$I$5+$J$5+$K$5)*Table53[[#This Row],[Locality''s Allocation Percentage ]]</f>
        <v>5408.245297910411</v>
      </c>
      <c r="U93" s="61">
        <f>($C$6+$D$6+$E$6+$F$6+$G$6+$H$6+$I$6+$J$6+$K$6)*Table53[[#This Row],[Locality''s Allocation Percentage ]]</f>
        <v>34237.141254394868</v>
      </c>
      <c r="V93" s="61">
        <f>($C$7+$D$7+$E$7+$F$7+$G$7+$H$7+$I$7+$J$7+$K$7)*Table53[[#This Row],[Locality''s Allocation Percentage ]]</f>
        <v>42223.155760682515</v>
      </c>
      <c r="W93" s="61">
        <f>($C$8+$D$8+$E$8+$F$8+$G$8+$H$8+$I$8+$J$8+$K$8)*Table53[[#This Row],[Locality''s Allocation Percentage ]]</f>
        <v>16192.486760552871</v>
      </c>
      <c r="X93" s="61">
        <f>($C$9+$D$9+$E$9+$F$9+$G$9+$H$9+$I$9+$J$9+$K$9)*Table53[[#This Row],[Locality''s Allocation Percentage ]]</f>
        <v>17399.873441073261</v>
      </c>
      <c r="Y93" s="61">
        <f>($C$10+$D$10+$E$10+$F$10+$G$10+$H$10+$I$10+$J$10+$K$10)*Table53[[#This Row],[Locality''s Allocation Percentage ]]</f>
        <v>18491.913842217073</v>
      </c>
      <c r="Z93" s="61">
        <f>($C$11+$D$11+$E$11+$F$11+$G$11+$H$11+$I$11+$J$11+$K$11)*Table53[[#This Row],[Locality''s Allocation Percentage ]]</f>
        <v>14088.296124954435</v>
      </c>
      <c r="AA93" s="61">
        <f>($C$12+$D$12+$E$12+$F$12+$G$12+$H$12+$I$12+$J$12+$K$12)*Table53[[#This Row],[Locality''s Allocation Percentage ]]</f>
        <v>19744.849644604641</v>
      </c>
      <c r="AB93" s="61">
        <f>($C$13+$D$13+$E$13+$F$13+$G$13+$H$13+$I$13+$J$13+$K$13)*Table53[[#This Row],[Locality''s Allocation Percentage ]]</f>
        <v>19834.687437022647</v>
      </c>
      <c r="AC93" s="61">
        <f>($C$14+$D$14+$E$14+$F$14+$G$14+$H$14+$I$14+$J$14+$K$14)*Table53[[#This Row],[Locality''s Allocation Percentage ]]</f>
        <v>18571.077422727569</v>
      </c>
      <c r="AD93" s="61">
        <f>($C$15+$D$15+$E$15+$F$15+$G$15+$H$15+$I$15+$J$15+$K$15)*Table53[[#This Row],[Locality''s Allocation Percentage ]]</f>
        <v>17234.073556854612</v>
      </c>
      <c r="AE93" s="61">
        <f>($C$16+$D$16+$E$16+$F$16+$G$16+$H$16+$I$16+$J$16+$K$16)*Table53[[#This Row],[Locality''s Allocation Percentage ]]</f>
        <v>15843.715117690019</v>
      </c>
      <c r="AF93" s="61">
        <f>($C$17+$D$17+$E$17+$F$17+$G$17+$H$17+$I$17+$J$17+$K$17)*Table53[[#This Row],[Locality''s Allocation Percentage ]]</f>
        <v>12091.070230946607</v>
      </c>
      <c r="AG93" s="61">
        <f>($C$18+$D$18+$E$18+$F$18+$G$18+$H$18+$I$18+$J$18+$K$18)*Table53[[#This Row],[Locality''s Allocation Percentage ]]</f>
        <v>12091.070230946607</v>
      </c>
      <c r="AH93" s="61">
        <f>($C$19+$D$19+$E$19+$F$19+$G$19+$H$19+$I$19+$J$19+$K$19)*Table53[[#This Row],[Locality''s Allocation Percentage ]]</f>
        <v>12091.070230946607</v>
      </c>
      <c r="AI93" s="61">
        <f>($C$20+$D$20+$E$20+$F$20+$G$20+$H$20+$I$20+$J$20+$K$20)*Table53[[#This Row],[Locality''s Allocation Percentage ]]</f>
        <v>10045.92474976907</v>
      </c>
      <c r="AJ93" s="61">
        <f>($C$21+$D$21+$E$21+$F$21+$G$21+$H$21+$I$21+$J$21+$K$21)*Table53[[#This Row],[Locality''s Allocation Percentage ]]</f>
        <v>10045.92474976907</v>
      </c>
      <c r="AK93" s="61">
        <f>($C$22+$D$22+$E$22+$F$22+$G$22+$H$22+$I$22+$J$22+$K$22)*Table53[[#This Row],[Locality''s Allocation Percentage ]]</f>
        <v>7033.3241862179848</v>
      </c>
      <c r="AL93" s="61"/>
      <c r="AM93" s="61"/>
      <c r="AN93" s="61">
        <f>$L$6*Table53[[#This Row],[Locality''s Allocation Percentage ]]</f>
        <v>12388.794607641403</v>
      </c>
      <c r="AO93" s="61">
        <f>$L$7*Table53[[#This Row],[Locality''s Allocation Percentage ]]</f>
        <v>14340.66711422711</v>
      </c>
      <c r="AP93" s="61">
        <f>$L$8*Table53[[#This Row],[Locality''s Allocation Percentage ]]</f>
        <v>5584.4591654232518</v>
      </c>
      <c r="AQ93" s="61">
        <f>$L$9*Table53[[#This Row],[Locality''s Allocation Percentage ]]</f>
        <v>6127.0332220087985</v>
      </c>
      <c r="AR93" s="61">
        <f>$L$10*Table53[[#This Row],[Locality''s Allocation Percentage ]]</f>
        <v>6527.4480357615303</v>
      </c>
      <c r="AS93" s="61">
        <f>$L$11*Table53[[#This Row],[Locality''s Allocation Percentage ]]</f>
        <v>4912.7882060985621</v>
      </c>
      <c r="AT93" s="61">
        <f>$L$12*Table53[[#This Row],[Locality''s Allocation Percentage ]]</f>
        <v>6986.8578299703049</v>
      </c>
      <c r="AU93" s="61">
        <f>$L$13*Table53[[#This Row],[Locality''s Allocation Percentage ]]</f>
        <v>7028.7916202335709</v>
      </c>
      <c r="AV93" s="61">
        <f>$L$14*Table53[[#This Row],[Locality''s Allocation Percentage ]]</f>
        <v>6536.9115078493041</v>
      </c>
      <c r="AW93" s="61">
        <f>$L$15*Table53[[#This Row],[Locality''s Allocation Percentage ]]</f>
        <v>6046.8194844804948</v>
      </c>
      <c r="AX93" s="61">
        <f>$L$16*Table53[[#This Row],[Locality''s Allocation Percentage ]]</f>
        <v>5537.0213901201432</v>
      </c>
      <c r="AY93" s="61">
        <f>$L$17*Table53[[#This Row],[Locality''s Allocation Percentage ]]</f>
        <v>4322.9303973502165</v>
      </c>
      <c r="AZ93" s="61">
        <f>$L$18*Table53[[#This Row],[Locality''s Allocation Percentage ]]</f>
        <v>4322.9303973502165</v>
      </c>
      <c r="BA93" s="61">
        <f>$L$19*Table53[[#This Row],[Locality''s Allocation Percentage ]]</f>
        <v>4322.9303973502165</v>
      </c>
      <c r="BB93" s="61">
        <f>$L$20*Table53[[#This Row],[Locality''s Allocation Percentage ]]</f>
        <v>3573.0437209184533</v>
      </c>
      <c r="BC93" s="61">
        <f>$L$21*Table53[[#This Row],[Locality''s Allocation Percentage ]]</f>
        <v>3573.0437209184533</v>
      </c>
      <c r="BD93" s="61">
        <f>$L$22*Table53[[#This Row],[Locality''s Allocation Percentage ]]</f>
        <v>2578.8855349465944</v>
      </c>
      <c r="BE93" s="61"/>
      <c r="BF93" s="61">
        <f t="shared" si="70"/>
        <v>0</v>
      </c>
      <c r="BG93" s="61">
        <f t="shared" si="70"/>
        <v>3097.1986519103507</v>
      </c>
      <c r="BH93" s="61">
        <f t="shared" si="75"/>
        <v>3585.1667785567774</v>
      </c>
      <c r="BI93" s="61">
        <f t="shared" si="76"/>
        <v>1396.1147913558129</v>
      </c>
      <c r="BJ93" s="61">
        <f t="shared" si="77"/>
        <v>1531.7583055021996</v>
      </c>
      <c r="BK93" s="61">
        <f t="shared" si="78"/>
        <v>1631.8620089403826</v>
      </c>
      <c r="BL93" s="61">
        <f t="shared" si="79"/>
        <v>1228.1970515246405</v>
      </c>
      <c r="BM93" s="61">
        <f t="shared" si="80"/>
        <v>1746.7144574925762</v>
      </c>
      <c r="BN93" s="61">
        <f t="shared" si="81"/>
        <v>1757.1979050583927</v>
      </c>
      <c r="BO93" s="61">
        <f t="shared" si="82"/>
        <v>1634.227876962326</v>
      </c>
      <c r="BP93" s="61">
        <f t="shared" si="83"/>
        <v>1511.7048711201237</v>
      </c>
      <c r="BQ93" s="61">
        <f t="shared" si="84"/>
        <v>1384.2553475300358</v>
      </c>
      <c r="BR93" s="61">
        <f t="shared" si="85"/>
        <v>1080.7325993375541</v>
      </c>
      <c r="BS93" s="61">
        <f t="shared" si="86"/>
        <v>1080.7325993375541</v>
      </c>
      <c r="BT93" s="61">
        <f t="shared" si="87"/>
        <v>1080.7325993375541</v>
      </c>
      <c r="BU93" s="61">
        <f t="shared" si="88"/>
        <v>893.26093022961334</v>
      </c>
      <c r="BV93" s="61">
        <f t="shared" si="89"/>
        <v>893.26093022961334</v>
      </c>
      <c r="BW93" s="61">
        <f t="shared" si="74"/>
        <v>644.72138373664859</v>
      </c>
      <c r="BX93" s="61"/>
      <c r="BY93" s="61">
        <f>($C$6+$D$6+$E$6)*Table53[[#This Row],[Locality''s Allocation Percentage ]]</f>
        <v>34237.141254394868</v>
      </c>
      <c r="BZ93" s="61">
        <f>$L$6*Table53[[#This Row],[Locality''s Allocation Percentage ]]</f>
        <v>12388.794607641403</v>
      </c>
      <c r="CA93" s="61">
        <f t="shared" si="71"/>
        <v>3097.1986519103507</v>
      </c>
      <c r="CB93" s="76">
        <f>($C$7+$D$7+$E$7)*Table53[[#This Row],[Locality''s Allocation Percentage ]]</f>
        <v>12347.24450083086</v>
      </c>
      <c r="CC93" s="76">
        <f>$L$7*Table53[[#This Row],[Locality''s Allocation Percentage ]]</f>
        <v>14340.66711422711</v>
      </c>
      <c r="CD93" s="76">
        <f t="shared" si="72"/>
        <v>3585.1667785567774</v>
      </c>
    </row>
    <row r="94" spans="3:82" s="19" customFormat="1" ht="18" customHeight="1" x14ac:dyDescent="0.25">
      <c r="M94" s="35">
        <f t="shared" si="73"/>
        <v>9090939.338529557</v>
      </c>
      <c r="P94" s="36" t="s">
        <v>287</v>
      </c>
      <c r="Q94" s="37">
        <v>6.3800638006380099E-3</v>
      </c>
      <c r="S94" s="22" t="s">
        <v>159</v>
      </c>
      <c r="T94" s="61">
        <f>($C$5+$D$5+$E$5+$F$5+$G$5+$H$5+$I$5+$J$5+$K$5)*Table53[[#This Row],[Locality''s Allocation Percentage ]]</f>
        <v>25943.312030577803</v>
      </c>
      <c r="U94" s="61">
        <f>($C$6+$D$6+$E$6+$F$6+$G$6+$H$6+$I$6+$J$6+$K$6)*Table53[[#This Row],[Locality''s Allocation Percentage ]]</f>
        <v>164235.30917521773</v>
      </c>
      <c r="V94" s="61">
        <f>($C$7+$D$7+$E$7+$F$7+$G$7+$H$7+$I$7+$J$7+$K$7)*Table53[[#This Row],[Locality''s Allocation Percentage ]]</f>
        <v>202544.16071665779</v>
      </c>
      <c r="W94" s="61">
        <f>($C$8+$D$8+$E$8+$F$8+$G$8+$H$8+$I$8+$J$8+$K$8)*Table53[[#This Row],[Locality''s Allocation Percentage ]]</f>
        <v>77675.23724235149</v>
      </c>
      <c r="X94" s="61">
        <f>($C$9+$D$9+$E$9+$F$9+$G$9+$H$9+$I$9+$J$9+$K$9)*Table53[[#This Row],[Locality''s Allocation Percentage ]]</f>
        <v>83467.062070712462</v>
      </c>
      <c r="Y94" s="61">
        <f>($C$10+$D$10+$E$10+$F$10+$G$10+$H$10+$I$10+$J$10+$K$10)*Table53[[#This Row],[Locality''s Allocation Percentage ]]</f>
        <v>88705.571664169256</v>
      </c>
      <c r="Z94" s="61">
        <f>($C$11+$D$11+$E$11+$F$11+$G$11+$H$11+$I$11+$J$11+$K$11)*Table53[[#This Row],[Locality''s Allocation Percentage ]]</f>
        <v>67581.450584367994</v>
      </c>
      <c r="AA94" s="61">
        <f>($C$12+$D$12+$E$12+$F$12+$G$12+$H$12+$I$12+$J$12+$K$12)*Table53[[#This Row],[Locality''s Allocation Percentage ]]</f>
        <v>94715.895287652485</v>
      </c>
      <c r="AB94" s="61">
        <f>($C$13+$D$13+$E$13+$F$13+$G$13+$H$13+$I$13+$J$13+$K$13)*Table53[[#This Row],[Locality''s Allocation Percentage ]]</f>
        <v>95146.846502409549</v>
      </c>
      <c r="AC94" s="61">
        <f>($C$14+$D$14+$E$14+$F$14+$G$14+$H$14+$I$14+$J$14+$K$14)*Table53[[#This Row],[Locality''s Allocation Percentage ]]</f>
        <v>89085.318764663214</v>
      </c>
      <c r="AD94" s="61">
        <f>($C$15+$D$15+$E$15+$F$15+$G$15+$H$15+$I$15+$J$15+$K$15)*Table53[[#This Row],[Locality''s Allocation Percentage ]]</f>
        <v>82671.721272731273</v>
      </c>
      <c r="AE94" s="61">
        <f>($C$16+$D$16+$E$16+$F$16+$G$16+$H$16+$I$16+$J$16+$K$16)*Table53[[#This Row],[Locality''s Allocation Percentage ]]</f>
        <v>76002.18229388156</v>
      </c>
      <c r="AF94" s="61">
        <f>($C$17+$D$17+$E$17+$F$17+$G$17+$H$17+$I$17+$J$17+$K$17)*Table53[[#This Row],[Locality''s Allocation Percentage ]]</f>
        <v>58000.77298754848</v>
      </c>
      <c r="AG94" s="61">
        <f>($C$18+$D$18+$E$18+$F$18+$G$18+$H$18+$I$18+$J$18+$K$18)*Table53[[#This Row],[Locality''s Allocation Percentage ]]</f>
        <v>58000.77298754848</v>
      </c>
      <c r="AH94" s="61">
        <f>($C$19+$D$19+$E$19+$F$19+$G$19+$H$19+$I$19+$J$19+$K$19)*Table53[[#This Row],[Locality''s Allocation Percentage ]]</f>
        <v>58000.77298754848</v>
      </c>
      <c r="AI94" s="61">
        <f>($C$20+$D$20+$E$20+$F$20+$G$20+$H$20+$I$20+$J$20+$K$20)*Table53[[#This Row],[Locality''s Allocation Percentage ]]</f>
        <v>48190.225491373516</v>
      </c>
      <c r="AJ94" s="61">
        <f>($C$21+$D$21+$E$21+$F$21+$G$21+$H$21+$I$21+$J$21+$K$21)*Table53[[#This Row],[Locality''s Allocation Percentage ]]</f>
        <v>48190.225491373516</v>
      </c>
      <c r="AK94" s="61">
        <f>($C$22+$D$22+$E$22+$F$22+$G$22+$H$22+$I$22+$J$22+$K$22)*Table53[[#This Row],[Locality''s Allocation Percentage ]]</f>
        <v>33738.803239150991</v>
      </c>
      <c r="AL94" s="61"/>
      <c r="AM94" s="61"/>
      <c r="AN94" s="61">
        <f>$L$6*Table53[[#This Row],[Locality''s Allocation Percentage ]]</f>
        <v>59428.954584024272</v>
      </c>
      <c r="AO94" s="61">
        <f>$L$7*Table53[[#This Row],[Locality''s Allocation Percentage ]]</f>
        <v>68792.072322382795</v>
      </c>
      <c r="AP94" s="61">
        <f>$L$8*Table53[[#This Row],[Locality''s Allocation Percentage ]]</f>
        <v>26788.608628120604</v>
      </c>
      <c r="AQ94" s="61">
        <f>$L$9*Table53[[#This Row],[Locality''s Allocation Percentage ]]</f>
        <v>29391.332298057292</v>
      </c>
      <c r="AR94" s="61">
        <f>$L$10*Table53[[#This Row],[Locality''s Allocation Percentage ]]</f>
        <v>31312.119148991453</v>
      </c>
      <c r="AS94" s="61">
        <f>$L$11*Table53[[#This Row],[Locality''s Allocation Percentage ]]</f>
        <v>23566.608086397653</v>
      </c>
      <c r="AT94" s="61">
        <f>$L$12*Table53[[#This Row],[Locality''s Allocation Percentage ]]</f>
        <v>33515.904477601965</v>
      </c>
      <c r="AU94" s="61">
        <f>$L$13*Table53[[#This Row],[Locality''s Allocation Percentage ]]</f>
        <v>33717.060554203199</v>
      </c>
      <c r="AV94" s="61">
        <f>$L$14*Table53[[#This Row],[Locality''s Allocation Percentage ]]</f>
        <v>31357.515353442577</v>
      </c>
      <c r="AW94" s="61">
        <f>$L$15*Table53[[#This Row],[Locality''s Allocation Percentage ]]</f>
        <v>29006.547602244824</v>
      </c>
      <c r="AX94" s="61">
        <f>$L$16*Table53[[#This Row],[Locality''s Allocation Percentage ]]</f>
        <v>26561.049976666593</v>
      </c>
      <c r="AY94" s="61">
        <f>$L$17*Table53[[#This Row],[Locality''s Allocation Percentage ]]</f>
        <v>20737.064612852952</v>
      </c>
      <c r="AZ94" s="61">
        <f>$L$18*Table53[[#This Row],[Locality''s Allocation Percentage ]]</f>
        <v>20737.064612852952</v>
      </c>
      <c r="BA94" s="61">
        <f>$L$19*Table53[[#This Row],[Locality''s Allocation Percentage ]]</f>
        <v>20737.064612852952</v>
      </c>
      <c r="BB94" s="61">
        <f>$L$20*Table53[[#This Row],[Locality''s Allocation Percentage ]]</f>
        <v>17139.863864255465</v>
      </c>
      <c r="BC94" s="61">
        <f>$L$21*Table53[[#This Row],[Locality''s Allocation Percentage ]]</f>
        <v>17139.863864255465</v>
      </c>
      <c r="BD94" s="61">
        <f>$L$22*Table53[[#This Row],[Locality''s Allocation Percentage ]]</f>
        <v>12370.894521022028</v>
      </c>
      <c r="BE94" s="61"/>
      <c r="BF94" s="61">
        <f t="shared" si="70"/>
        <v>0</v>
      </c>
      <c r="BG94" s="61">
        <f t="shared" si="70"/>
        <v>14857.238646006068</v>
      </c>
      <c r="BH94" s="61">
        <f t="shared" si="75"/>
        <v>17198.018080595699</v>
      </c>
      <c r="BI94" s="61">
        <f t="shared" si="76"/>
        <v>6697.1521570301511</v>
      </c>
      <c r="BJ94" s="61">
        <f t="shared" si="77"/>
        <v>7347.833074514323</v>
      </c>
      <c r="BK94" s="61">
        <f t="shared" si="78"/>
        <v>7828.0297872478632</v>
      </c>
      <c r="BL94" s="61">
        <f t="shared" si="79"/>
        <v>5891.6520215994133</v>
      </c>
      <c r="BM94" s="61">
        <f t="shared" si="80"/>
        <v>8378.9761194004914</v>
      </c>
      <c r="BN94" s="61">
        <f t="shared" si="81"/>
        <v>8429.2651385507997</v>
      </c>
      <c r="BO94" s="61">
        <f t="shared" si="82"/>
        <v>7839.3788383606443</v>
      </c>
      <c r="BP94" s="61">
        <f t="shared" si="83"/>
        <v>7251.6369005612059</v>
      </c>
      <c r="BQ94" s="61">
        <f t="shared" si="84"/>
        <v>6640.2624941666481</v>
      </c>
      <c r="BR94" s="61">
        <f t="shared" si="85"/>
        <v>5184.2661532132379</v>
      </c>
      <c r="BS94" s="61">
        <f t="shared" si="86"/>
        <v>5184.2661532132379</v>
      </c>
      <c r="BT94" s="61">
        <f t="shared" si="87"/>
        <v>5184.2661532132379</v>
      </c>
      <c r="BU94" s="61">
        <f t="shared" si="88"/>
        <v>4284.9659660638663</v>
      </c>
      <c r="BV94" s="61">
        <f t="shared" si="89"/>
        <v>4284.9659660638663</v>
      </c>
      <c r="BW94" s="61">
        <f t="shared" si="74"/>
        <v>3092.723630255507</v>
      </c>
      <c r="BX94" s="61"/>
      <c r="BY94" s="61">
        <f>($C$6+$D$6+$E$6)*Table53[[#This Row],[Locality''s Allocation Percentage ]]</f>
        <v>164235.30917521773</v>
      </c>
      <c r="BZ94" s="61">
        <f>$L$6*Table53[[#This Row],[Locality''s Allocation Percentage ]]</f>
        <v>59428.954584024272</v>
      </c>
      <c r="CA94" s="61">
        <f t="shared" si="71"/>
        <v>14857.238646006068</v>
      </c>
      <c r="CB94" s="76">
        <f>($C$7+$D$7+$E$7)*Table53[[#This Row],[Locality''s Allocation Percentage ]]</f>
        <v>59229.639034060914</v>
      </c>
      <c r="CC94" s="76">
        <f>$L$7*Table53[[#This Row],[Locality''s Allocation Percentage ]]</f>
        <v>68792.072322382795</v>
      </c>
      <c r="CD94" s="76">
        <f t="shared" si="72"/>
        <v>17198.018080595699</v>
      </c>
    </row>
    <row r="95" spans="3:82" s="19" customFormat="1" ht="18" customHeight="1" x14ac:dyDescent="0.25">
      <c r="M95" s="35">
        <f t="shared" si="73"/>
        <v>7553251.3462568298</v>
      </c>
      <c r="P95" s="36" t="s">
        <v>288</v>
      </c>
      <c r="Q95" s="37">
        <v>4.1000410004099997E-3</v>
      </c>
      <c r="S95" s="22" t="s">
        <v>160</v>
      </c>
      <c r="T95" s="61">
        <f>($C$5+$D$5+$E$5+$F$5+$G$5+$H$5+$I$5+$J$5+$K$5)*Table53[[#This Row],[Locality''s Allocation Percentage ]]</f>
        <v>16672.034377017055</v>
      </c>
      <c r="U95" s="61">
        <f>($C$6+$D$6+$E$6+$F$6+$G$6+$H$6+$I$6+$J$6+$K$6)*Table53[[#This Row],[Locality''s Allocation Percentage ]]</f>
        <v>105543.06702482628</v>
      </c>
      <c r="V95" s="61">
        <f>($C$7+$D$7+$E$7+$F$7+$G$7+$H$7+$I$7+$J$7+$K$7)*Table53[[#This Row],[Locality''s Allocation Percentage ]]</f>
        <v>130161.60798405886</v>
      </c>
      <c r="W95" s="61">
        <f>($C$8+$D$8+$E$8+$F$8+$G$8+$H$8+$I$8+$J$8+$K$8)*Table53[[#This Row],[Locality''s Allocation Percentage ]]</f>
        <v>49916.688509975014</v>
      </c>
      <c r="X95" s="61">
        <f>($C$9+$D$9+$E$9+$F$9+$G$9+$H$9+$I$9+$J$9+$K$9)*Table53[[#This Row],[Locality''s Allocation Percentage ]]</f>
        <v>53638.707600301022</v>
      </c>
      <c r="Y95" s="61">
        <f>($C$10+$D$10+$E$10+$F$10+$G$10+$H$10+$I$10+$J$10+$K$10)*Table53[[#This Row],[Locality''s Allocation Percentage ]]</f>
        <v>57005.147934654138</v>
      </c>
      <c r="Z95" s="61">
        <f>($C$11+$D$11+$E$11+$F$11+$G$11+$H$11+$I$11+$J$11+$K$11)*Table53[[#This Row],[Locality''s Allocation Percentage ]]</f>
        <v>43430.085798731714</v>
      </c>
      <c r="AA95" s="61">
        <f>($C$12+$D$12+$E$12+$F$12+$G$12+$H$12+$I$12+$J$12+$K$12)*Table53[[#This Row],[Locality''s Allocation Percentage ]]</f>
        <v>60867.581611187234</v>
      </c>
      <c r="AB95" s="61">
        <f>($C$13+$D$13+$E$13+$F$13+$G$13+$H$13+$I$13+$J$13+$K$13)*Table53[[#This Row],[Locality''s Allocation Percentage ]]</f>
        <v>61144.525181799137</v>
      </c>
      <c r="AC95" s="61">
        <f>($C$14+$D$14+$E$14+$F$14+$G$14+$H$14+$I$14+$J$14+$K$14)*Table53[[#This Row],[Locality''s Allocation Percentage ]]</f>
        <v>57249.186039987238</v>
      </c>
      <c r="AD95" s="61">
        <f>($C$15+$D$15+$E$15+$F$15+$G$15+$H$15+$I$15+$J$15+$K$15)*Table53[[#This Row],[Locality''s Allocation Percentage ]]</f>
        <v>53127.595175266099</v>
      </c>
      <c r="AE95" s="61">
        <f>($C$16+$D$16+$E$16+$F$16+$G$16+$H$16+$I$16+$J$16+$K$16)*Table53[[#This Row],[Locality''s Allocation Percentage ]]</f>
        <v>48841.527806412836</v>
      </c>
      <c r="AF95" s="61">
        <f>($C$17+$D$17+$E$17+$F$17+$G$17+$H$17+$I$17+$J$17+$K$17)*Table53[[#This Row],[Locality''s Allocation Percentage ]]</f>
        <v>37273.224020211346</v>
      </c>
      <c r="AG95" s="61">
        <f>($C$18+$D$18+$E$18+$F$18+$G$18+$H$18+$I$18+$J$18+$K$18)*Table53[[#This Row],[Locality''s Allocation Percentage ]]</f>
        <v>37273.224020211346</v>
      </c>
      <c r="AH95" s="61">
        <f>($C$19+$D$19+$E$19+$F$19+$G$19+$H$19+$I$19+$J$19+$K$19)*Table53[[#This Row],[Locality''s Allocation Percentage ]]</f>
        <v>37273.224020211346</v>
      </c>
      <c r="AI95" s="61">
        <f>($C$20+$D$20+$E$20+$F$20+$G$20+$H$20+$I$20+$J$20+$K$20)*Table53[[#This Row],[Locality''s Allocation Percentage ]]</f>
        <v>30968.640206055028</v>
      </c>
      <c r="AJ95" s="61">
        <f>($C$21+$D$21+$E$21+$F$21+$G$21+$H$21+$I$21+$J$21+$K$21)*Table53[[#This Row],[Locality''s Allocation Percentage ]]</f>
        <v>30968.640206055028</v>
      </c>
      <c r="AK95" s="61">
        <f>($C$22+$D$22+$E$22+$F$22+$G$22+$H$22+$I$22+$J$22+$K$22)*Table53[[#This Row],[Locality''s Allocation Percentage ]]</f>
        <v>21681.676062777246</v>
      </c>
      <c r="AL95" s="61"/>
      <c r="AM95" s="61"/>
      <c r="AN95" s="61">
        <f>$L$6*Table53[[#This Row],[Locality''s Allocation Percentage ]]</f>
        <v>38191.020970924626</v>
      </c>
      <c r="AO95" s="61">
        <f>$L$7*Table53[[#This Row],[Locality''s Allocation Percentage ]]</f>
        <v>44208.071555136201</v>
      </c>
      <c r="AP95" s="61">
        <f>$L$8*Table53[[#This Row],[Locality''s Allocation Percentage ]]</f>
        <v>17215.25005882356</v>
      </c>
      <c r="AQ95" s="61">
        <f>$L$9*Table53[[#This Row],[Locality''s Allocation Percentage ]]</f>
        <v>18887.84677461359</v>
      </c>
      <c r="AR95" s="61">
        <f>$L$10*Table53[[#This Row],[Locality''s Allocation Percentage ]]</f>
        <v>20122.208230543063</v>
      </c>
      <c r="AS95" s="61">
        <f>$L$11*Table53[[#This Row],[Locality''s Allocation Percentage ]]</f>
        <v>15144.685447371507</v>
      </c>
      <c r="AT95" s="61">
        <f>$L$12*Table53[[#This Row],[Locality''s Allocation Percentage ]]</f>
        <v>21538.433911938533</v>
      </c>
      <c r="AU95" s="61">
        <f>$L$13*Table53[[#This Row],[Locality''s Allocation Percentage ]]</f>
        <v>21667.703490945594</v>
      </c>
      <c r="AV95" s="61">
        <f>$L$14*Table53[[#This Row],[Locality''s Allocation Percentage ]]</f>
        <v>20151.381339986576</v>
      </c>
      <c r="AW95" s="61">
        <f>$L$15*Table53[[#This Row],[Locality''s Allocation Percentage ]]</f>
        <v>18640.571343135358</v>
      </c>
      <c r="AX95" s="61">
        <f>$L$16*Table53[[#This Row],[Locality''s Allocation Percentage ]]</f>
        <v>17069.013307889163</v>
      </c>
      <c r="AY95" s="61">
        <f>$L$17*Table53[[#This Row],[Locality''s Allocation Percentage ]]</f>
        <v>13326.326788823975</v>
      </c>
      <c r="AZ95" s="61">
        <f>$L$18*Table53[[#This Row],[Locality''s Allocation Percentage ]]</f>
        <v>13326.326788823975</v>
      </c>
      <c r="BA95" s="61">
        <f>$L$19*Table53[[#This Row],[Locality''s Allocation Percentage ]]</f>
        <v>13326.326788823975</v>
      </c>
      <c r="BB95" s="61">
        <f>$L$20*Table53[[#This Row],[Locality''s Allocation Percentage ]]</f>
        <v>11014.64605696666</v>
      </c>
      <c r="BC95" s="61">
        <f>$L$21*Table53[[#This Row],[Locality''s Allocation Percentage ]]</f>
        <v>11014.64605696666</v>
      </c>
      <c r="BD95" s="61">
        <f>$L$22*Table53[[#This Row],[Locality''s Allocation Percentage ]]</f>
        <v>7949.9478896849896</v>
      </c>
      <c r="BE95" s="61"/>
      <c r="BF95" s="61">
        <f t="shared" si="70"/>
        <v>0</v>
      </c>
      <c r="BG95" s="61">
        <f t="shared" si="70"/>
        <v>9547.7552427311566</v>
      </c>
      <c r="BH95" s="61">
        <f t="shared" si="75"/>
        <v>11052.01788878405</v>
      </c>
      <c r="BI95" s="61">
        <f t="shared" si="76"/>
        <v>4303.81251470589</v>
      </c>
      <c r="BJ95" s="61">
        <f t="shared" si="77"/>
        <v>4721.9616936533976</v>
      </c>
      <c r="BK95" s="61">
        <f t="shared" si="78"/>
        <v>5030.5520576357658</v>
      </c>
      <c r="BL95" s="61">
        <f t="shared" si="79"/>
        <v>3786.1713618428766</v>
      </c>
      <c r="BM95" s="61">
        <f t="shared" si="80"/>
        <v>5384.6084779846333</v>
      </c>
      <c r="BN95" s="61">
        <f t="shared" si="81"/>
        <v>5416.9258727363986</v>
      </c>
      <c r="BO95" s="61">
        <f t="shared" si="82"/>
        <v>5037.8453349966439</v>
      </c>
      <c r="BP95" s="61">
        <f t="shared" si="83"/>
        <v>4660.1428357838395</v>
      </c>
      <c r="BQ95" s="61">
        <f t="shared" si="84"/>
        <v>4267.2533269722908</v>
      </c>
      <c r="BR95" s="61">
        <f t="shared" si="85"/>
        <v>3331.5816972059938</v>
      </c>
      <c r="BS95" s="61">
        <f t="shared" si="86"/>
        <v>3331.5816972059938</v>
      </c>
      <c r="BT95" s="61">
        <f t="shared" si="87"/>
        <v>3331.5816972059938</v>
      </c>
      <c r="BU95" s="61">
        <f t="shared" si="88"/>
        <v>2753.6615142416649</v>
      </c>
      <c r="BV95" s="61">
        <f t="shared" si="89"/>
        <v>2753.6615142416649</v>
      </c>
      <c r="BW95" s="61">
        <f t="shared" si="74"/>
        <v>1987.4869724212474</v>
      </c>
      <c r="BX95" s="61"/>
      <c r="BY95" s="61">
        <f>($C$6+$D$6+$E$6)*Table53[[#This Row],[Locality''s Allocation Percentage ]]</f>
        <v>105543.06702482628</v>
      </c>
      <c r="BZ95" s="61">
        <f>$L$6*Table53[[#This Row],[Locality''s Allocation Percentage ]]</f>
        <v>38191.020970924626</v>
      </c>
      <c r="CA95" s="61">
        <f t="shared" si="71"/>
        <v>9547.7552427311566</v>
      </c>
      <c r="CB95" s="76">
        <f>($C$7+$D$7+$E$7)*Table53[[#This Row],[Locality''s Allocation Percentage ]]</f>
        <v>38062.934175493632</v>
      </c>
      <c r="CC95" s="76">
        <f>$L$7*Table53[[#This Row],[Locality''s Allocation Percentage ]]</f>
        <v>44208.071555136201</v>
      </c>
      <c r="CD95" s="76">
        <f t="shared" si="72"/>
        <v>11052.01788878405</v>
      </c>
    </row>
    <row r="96" spans="3:82" s="19" customFormat="1" ht="18" customHeight="1" x14ac:dyDescent="0.25">
      <c r="M96" s="35">
        <f t="shared" si="73"/>
        <v>7553251.3462568298</v>
      </c>
      <c r="P96" s="36" t="s">
        <v>289</v>
      </c>
      <c r="Q96" s="37">
        <v>3.2900329003290002E-3</v>
      </c>
      <c r="S96" s="22" t="s">
        <v>161</v>
      </c>
      <c r="T96" s="61">
        <f>($C$5+$D$5+$E$5+$F$5+$G$5+$H$5+$I$5+$J$5+$K$5)*Table53[[#This Row],[Locality''s Allocation Percentage ]]</f>
        <v>13378.291000094176</v>
      </c>
      <c r="U96" s="61">
        <f>($C$6+$D$6+$E$6+$F$6+$G$6+$H$6+$I$6+$J$6+$K$6)*Table53[[#This Row],[Locality''s Allocation Percentage ]]</f>
        <v>84691.875734555724</v>
      </c>
      <c r="V96" s="61">
        <f>($C$7+$D$7+$E$7+$F$7+$G$7+$H$7+$I$7+$J$7+$K$7)*Table53[[#This Row],[Locality''s Allocation Percentage ]]</f>
        <v>104446.75372379359</v>
      </c>
      <c r="W96" s="61">
        <f>($C$8+$D$8+$E$8+$F$8+$G$8+$H$8+$I$8+$J$8+$K$8)*Table53[[#This Row],[Locality''s Allocation Percentage ]]</f>
        <v>40055.098828736052</v>
      </c>
      <c r="X96" s="61">
        <f>($C$9+$D$9+$E$9+$F$9+$G$9+$H$9+$I$9+$J$9+$K$9)*Table53[[#This Row],[Locality''s Allocation Percentage ]]</f>
        <v>43041.79219633912</v>
      </c>
      <c r="Y96" s="61">
        <f>($C$10+$D$10+$E$10+$F$10+$G$10+$H$10+$I$10+$J$10+$K$10)*Table53[[#This Row],[Locality''s Allocation Percentage ]]</f>
        <v>45743.155293905395</v>
      </c>
      <c r="Z96" s="61">
        <f>($C$11+$D$11+$E$11+$F$11+$G$11+$H$11+$I$11+$J$11+$K$11)*Table53[[#This Row],[Locality''s Allocation Percentage ]]</f>
        <v>34849.995677518869</v>
      </c>
      <c r="AA96" s="61">
        <f>($C$12+$D$12+$E$12+$F$12+$G$12+$H$12+$I$12+$J$12+$K$12)*Table53[[#This Row],[Locality''s Allocation Percentage ]]</f>
        <v>48842.522805074637</v>
      </c>
      <c r="AB96" s="61">
        <f>($C$13+$D$13+$E$13+$F$13+$G$13+$H$13+$I$13+$J$13+$K$13)*Table53[[#This Row],[Locality''s Allocation Percentage ]]</f>
        <v>49064.753133687605</v>
      </c>
      <c r="AC96" s="61">
        <f>($C$14+$D$14+$E$14+$F$14+$G$14+$H$14+$I$14+$J$14+$K$14)*Table53[[#This Row],[Locality''s Allocation Percentage ]]</f>
        <v>45938.980993062934</v>
      </c>
      <c r="AD96" s="61">
        <f>($C$15+$D$15+$E$15+$F$15+$G$15+$H$15+$I$15+$J$15+$K$15)*Table53[[#This Row],[Locality''s Allocation Percentage ]]</f>
        <v>42631.655640640362</v>
      </c>
      <c r="AE96" s="61">
        <f>($C$16+$D$16+$E$16+$F$16+$G$16+$H$16+$I$16+$J$16+$K$16)*Table53[[#This Row],[Locality''s Allocation Percentage ]]</f>
        <v>39192.347922706889</v>
      </c>
      <c r="AF96" s="61">
        <f>($C$17+$D$17+$E$17+$F$17+$G$17+$H$17+$I$17+$J$17+$K$17)*Table53[[#This Row],[Locality''s Allocation Percentage ]]</f>
        <v>29909.489518657399</v>
      </c>
      <c r="AG96" s="61">
        <f>($C$18+$D$18+$E$18+$F$18+$G$18+$H$18+$I$18+$J$18+$K$18)*Table53[[#This Row],[Locality''s Allocation Percentage ]]</f>
        <v>29909.489518657399</v>
      </c>
      <c r="AH96" s="61">
        <f>($C$19+$D$19+$E$19+$F$19+$G$19+$H$19+$I$19+$J$19+$K$19)*Table53[[#This Row],[Locality''s Allocation Percentage ]]</f>
        <v>29909.489518657399</v>
      </c>
      <c r="AI96" s="61">
        <f>($C$20+$D$20+$E$20+$F$20+$G$20+$H$20+$I$20+$J$20+$K$20)*Table53[[#This Row],[Locality''s Allocation Percentage ]]</f>
        <v>24850.445433639285</v>
      </c>
      <c r="AJ96" s="61">
        <f>($C$21+$D$21+$E$21+$F$21+$G$21+$H$21+$I$21+$J$21+$K$21)*Table53[[#This Row],[Locality''s Allocation Percentage ]]</f>
        <v>24850.445433639285</v>
      </c>
      <c r="AK96" s="61">
        <f>($C$22+$D$22+$E$22+$F$22+$G$22+$H$22+$I$22+$J$22+$K$22)*Table53[[#This Row],[Locality''s Allocation Percentage ]]</f>
        <v>17398.222986960282</v>
      </c>
      <c r="AL96" s="61"/>
      <c r="AM96" s="61"/>
      <c r="AN96" s="61">
        <f>$L$6*Table53[[#This Row],[Locality''s Allocation Percentage ]]</f>
        <v>30645.965608376107</v>
      </c>
      <c r="AO96" s="61">
        <f>$L$7*Table53[[#This Row],[Locality''s Allocation Percentage ]]</f>
        <v>35474.281808877589</v>
      </c>
      <c r="AP96" s="61">
        <f>$L$8*Table53[[#This Row],[Locality''s Allocation Percentage ]]</f>
        <v>13814.188461836467</v>
      </c>
      <c r="AQ96" s="61">
        <f>$L$9*Table53[[#This Row],[Locality''s Allocation Percentage ]]</f>
        <v>15156.345338653346</v>
      </c>
      <c r="AR96" s="61">
        <f>$L$10*Table53[[#This Row],[Locality''s Allocation Percentage ]]</f>
        <v>16146.845141094313</v>
      </c>
      <c r="AS96" s="61">
        <f>$L$11*Table53[[#This Row],[Locality''s Allocation Percentage ]]</f>
        <v>12152.686615085919</v>
      </c>
      <c r="AT96" s="61">
        <f>$L$12*Table53[[#This Row],[Locality''s Allocation Percentage ]]</f>
        <v>17283.279895189702</v>
      </c>
      <c r="AU96" s="61">
        <f>$L$13*Table53[[#This Row],[Locality''s Allocation Percentage ]]</f>
        <v>17387.010850051465</v>
      </c>
      <c r="AV96" s="61">
        <f>$L$14*Table53[[#This Row],[Locality''s Allocation Percentage ]]</f>
        <v>16170.254782574595</v>
      </c>
      <c r="AW96" s="61">
        <f>$L$15*Table53[[#This Row],[Locality''s Allocation Percentage ]]</f>
        <v>14957.921882662278</v>
      </c>
      <c r="AX96" s="61">
        <f>$L$16*Table53[[#This Row],[Locality''s Allocation Percentage ]]</f>
        <v>13696.842386086671</v>
      </c>
      <c r="AY96" s="61">
        <f>$L$17*Table53[[#This Row],[Locality''s Allocation Percentage ]]</f>
        <v>10693.564667129483</v>
      </c>
      <c r="AZ96" s="61">
        <f>$L$18*Table53[[#This Row],[Locality''s Allocation Percentage ]]</f>
        <v>10693.564667129483</v>
      </c>
      <c r="BA96" s="61">
        <f>$L$19*Table53[[#This Row],[Locality''s Allocation Percentage ]]</f>
        <v>10693.564667129483</v>
      </c>
      <c r="BB96" s="61">
        <f>$L$20*Table53[[#This Row],[Locality''s Allocation Percentage ]]</f>
        <v>8838.5818359561745</v>
      </c>
      <c r="BC96" s="61">
        <f>$L$21*Table53[[#This Row],[Locality''s Allocation Percentage ]]</f>
        <v>8838.5818359561745</v>
      </c>
      <c r="BD96" s="61">
        <f>$L$22*Table53[[#This Row],[Locality''s Allocation Percentage ]]</f>
        <v>6379.3484285521026</v>
      </c>
      <c r="BE96" s="61"/>
      <c r="BF96" s="61">
        <f t="shared" si="70"/>
        <v>0</v>
      </c>
      <c r="BG96" s="61">
        <f t="shared" si="70"/>
        <v>7661.4914020940269</v>
      </c>
      <c r="BH96" s="61">
        <f t="shared" si="75"/>
        <v>8868.5704522193973</v>
      </c>
      <c r="BI96" s="61">
        <f t="shared" si="76"/>
        <v>3453.5471154591169</v>
      </c>
      <c r="BJ96" s="61">
        <f t="shared" si="77"/>
        <v>3789.0863346633364</v>
      </c>
      <c r="BK96" s="61">
        <f t="shared" si="78"/>
        <v>4036.7112852735781</v>
      </c>
      <c r="BL96" s="61">
        <f t="shared" si="79"/>
        <v>3038.1716537714797</v>
      </c>
      <c r="BM96" s="61">
        <f t="shared" si="80"/>
        <v>4320.8199737974255</v>
      </c>
      <c r="BN96" s="61">
        <f t="shared" si="81"/>
        <v>4346.7527125128663</v>
      </c>
      <c r="BO96" s="61">
        <f t="shared" si="82"/>
        <v>4042.5636956436488</v>
      </c>
      <c r="BP96" s="61">
        <f t="shared" si="83"/>
        <v>3739.4804706655696</v>
      </c>
      <c r="BQ96" s="61">
        <f t="shared" si="84"/>
        <v>3424.2105965216679</v>
      </c>
      <c r="BR96" s="61">
        <f t="shared" si="85"/>
        <v>2673.3911667823709</v>
      </c>
      <c r="BS96" s="61">
        <f t="shared" si="86"/>
        <v>2673.3911667823709</v>
      </c>
      <c r="BT96" s="61">
        <f t="shared" si="87"/>
        <v>2673.3911667823709</v>
      </c>
      <c r="BU96" s="61">
        <f t="shared" si="88"/>
        <v>2209.6454589890436</v>
      </c>
      <c r="BV96" s="61">
        <f t="shared" si="89"/>
        <v>2209.6454589890436</v>
      </c>
      <c r="BW96" s="61">
        <f t="shared" si="74"/>
        <v>1594.8371071380257</v>
      </c>
      <c r="BX96" s="61"/>
      <c r="BY96" s="61">
        <f>($C$6+$D$6+$E$6)*Table53[[#This Row],[Locality''s Allocation Percentage ]]</f>
        <v>84691.875734555724</v>
      </c>
      <c r="BZ96" s="61">
        <f>$L$6*Table53[[#This Row],[Locality''s Allocation Percentage ]]</f>
        <v>30645.965608376107</v>
      </c>
      <c r="CA96" s="61">
        <f t="shared" si="71"/>
        <v>7661.4914020940269</v>
      </c>
      <c r="CB96" s="76">
        <f>($C$7+$D$7+$E$7)*Table53[[#This Row],[Locality''s Allocation Percentage ]]</f>
        <v>30543.183765213187</v>
      </c>
      <c r="CC96" s="76">
        <f>$L$7*Table53[[#This Row],[Locality''s Allocation Percentage ]]</f>
        <v>35474.281808877589</v>
      </c>
      <c r="CD96" s="76">
        <f t="shared" si="72"/>
        <v>8868.5704522193973</v>
      </c>
    </row>
    <row r="97" spans="13:82" s="19" customFormat="1" ht="18" customHeight="1" x14ac:dyDescent="0.25">
      <c r="M97" s="35">
        <f t="shared" si="73"/>
        <v>5288160.791711376</v>
      </c>
      <c r="P97" s="36" t="s">
        <v>162</v>
      </c>
      <c r="Q97" s="37">
        <v>3.9500395003950004E-3</v>
      </c>
      <c r="S97" s="22" t="s">
        <v>162</v>
      </c>
      <c r="T97" s="61">
        <f>($C$5+$D$5+$E$5+$F$5+$G$5+$H$5+$I$5+$J$5+$K$5)*Table53[[#This Row],[Locality''s Allocation Percentage ]]</f>
        <v>16062.081899809118</v>
      </c>
      <c r="U97" s="61">
        <f>($C$6+$D$6+$E$6+$F$6+$G$6+$H$6+$I$6+$J$6+$K$6)*Table53[[#This Row],[Locality''s Allocation Percentage ]]</f>
        <v>101681.73530440583</v>
      </c>
      <c r="V97" s="61">
        <f>($C$7+$D$7+$E$7+$F$7+$G$7+$H$7+$I$7+$J$7+$K$7)*Table53[[#This Row],[Locality''s Allocation Percentage ]]</f>
        <v>125399.59793586162</v>
      </c>
      <c r="W97" s="61">
        <f>($C$8+$D$8+$E$8+$F$8+$G$8+$H$8+$I$8+$J$8+$K$8)*Table53[[#This Row],[Locality''s Allocation Percentage ]]</f>
        <v>48090.468198634473</v>
      </c>
      <c r="X97" s="61">
        <f>($C$9+$D$9+$E$9+$F$9+$G$9+$H$9+$I$9+$J$9+$K$9)*Table53[[#This Row],[Locality''s Allocation Percentage ]]</f>
        <v>51676.315858826609</v>
      </c>
      <c r="Y97" s="61">
        <f>($C$10+$D$10+$E$10+$F$10+$G$10+$H$10+$I$10+$J$10+$K$10)*Table53[[#This Row],[Locality''s Allocation Percentage ]]</f>
        <v>54919.593741922894</v>
      </c>
      <c r="Z97" s="61">
        <f>($C$11+$D$11+$E$11+$F$11+$G$11+$H$11+$I$11+$J$11+$K$11)*Table53[[#This Row],[Locality''s Allocation Percentage ]]</f>
        <v>41841.180220729344</v>
      </c>
      <c r="AA97" s="61">
        <f>($C$12+$D$12+$E$12+$F$12+$G$12+$H$12+$I$12+$J$12+$K$12)*Table53[[#This Row],[Locality''s Allocation Percentage ]]</f>
        <v>58640.718869314544</v>
      </c>
      <c r="AB97" s="61">
        <f>($C$13+$D$13+$E$13+$F$13+$G$13+$H$13+$I$13+$J$13+$K$13)*Table53[[#This Row],[Locality''s Allocation Percentage ]]</f>
        <v>58907.530358074786</v>
      </c>
      <c r="AC97" s="61">
        <f>($C$14+$D$14+$E$14+$F$14+$G$14+$H$14+$I$14+$J$14+$K$14)*Table53[[#This Row],[Locality''s Allocation Percentage ]]</f>
        <v>55154.703623890156</v>
      </c>
      <c r="AD97" s="61">
        <f>($C$15+$D$15+$E$15+$F$15+$G$15+$H$15+$I$15+$J$15+$K$15)*Table53[[#This Row],[Locality''s Allocation Percentage ]]</f>
        <v>51183.902668853931</v>
      </c>
      <c r="AE97" s="61">
        <f>($C$16+$D$16+$E$16+$F$16+$G$16+$H$16+$I$16+$J$16+$K$16)*Table53[[#This Row],[Locality''s Allocation Percentage ]]</f>
        <v>47054.642642763596</v>
      </c>
      <c r="AF97" s="61">
        <f>($C$17+$D$17+$E$17+$F$17+$G$17+$H$17+$I$17+$J$17+$K$17)*Table53[[#This Row],[Locality''s Allocation Percentage ]]</f>
        <v>35909.569482886545</v>
      </c>
      <c r="AG97" s="61">
        <f>($C$18+$D$18+$E$18+$F$18+$G$18+$H$18+$I$18+$J$18+$K$18)*Table53[[#This Row],[Locality''s Allocation Percentage ]]</f>
        <v>35909.569482886545</v>
      </c>
      <c r="AH97" s="61">
        <f>($C$19+$D$19+$E$19+$F$19+$G$19+$H$19+$I$19+$J$19+$K$19)*Table53[[#This Row],[Locality''s Allocation Percentage ]]</f>
        <v>35909.569482886545</v>
      </c>
      <c r="AI97" s="61">
        <f>($C$20+$D$20+$E$20+$F$20+$G$20+$H$20+$I$20+$J$20+$K$20)*Table53[[#This Row],[Locality''s Allocation Percentage ]]</f>
        <v>29835.641174126191</v>
      </c>
      <c r="AJ97" s="61">
        <f>($C$21+$D$21+$E$21+$F$21+$G$21+$H$21+$I$21+$J$21+$K$21)*Table53[[#This Row],[Locality''s Allocation Percentage ]]</f>
        <v>29835.641174126191</v>
      </c>
      <c r="AK97" s="61">
        <f>($C$22+$D$22+$E$22+$F$22+$G$22+$H$22+$I$22+$J$22+$K$22)*Table53[[#This Row],[Locality''s Allocation Percentage ]]</f>
        <v>20888.444011700034</v>
      </c>
      <c r="AL97" s="61"/>
      <c r="AM97" s="61"/>
      <c r="AN97" s="61">
        <f>$L$6*Table53[[#This Row],[Locality''s Allocation Percentage ]]</f>
        <v>36793.788496378613</v>
      </c>
      <c r="AO97" s="61">
        <f>$L$7*Table53[[#This Row],[Locality''s Allocation Percentage ]]</f>
        <v>42590.703083606837</v>
      </c>
      <c r="AP97" s="61">
        <f>$L$8*Table53[[#This Row],[Locality''s Allocation Percentage ]]</f>
        <v>16585.423837159284</v>
      </c>
      <c r="AQ97" s="61">
        <f>$L$9*Table53[[#This Row],[Locality''s Allocation Percentage ]]</f>
        <v>18196.827990176509</v>
      </c>
      <c r="AR97" s="61">
        <f>$L$10*Table53[[#This Row],[Locality''s Allocation Percentage ]]</f>
        <v>19386.02988064515</v>
      </c>
      <c r="AS97" s="61">
        <f>$L$11*Table53[[#This Row],[Locality''s Allocation Percentage ]]</f>
        <v>14590.611589540846</v>
      </c>
      <c r="AT97" s="61">
        <f>$L$12*Table53[[#This Row],[Locality''s Allocation Percentage ]]</f>
        <v>20750.442427355418</v>
      </c>
      <c r="AU97" s="61">
        <f>$L$13*Table53[[#This Row],[Locality''s Allocation Percentage ]]</f>
        <v>20874.982631520757</v>
      </c>
      <c r="AV97" s="61">
        <f>$L$14*Table53[[#This Row],[Locality''s Allocation Percentage ]]</f>
        <v>19414.135681206582</v>
      </c>
      <c r="AW97" s="61">
        <f>$L$15*Table53[[#This Row],[Locality''s Allocation Percentage ]]</f>
        <v>17958.59922082553</v>
      </c>
      <c r="AX97" s="61">
        <f>$L$16*Table53[[#This Row],[Locality''s Allocation Percentage ]]</f>
        <v>16444.537211259074</v>
      </c>
      <c r="AY97" s="61">
        <f>$L$17*Table53[[#This Row],[Locality''s Allocation Percentage ]]</f>
        <v>12838.778247769442</v>
      </c>
      <c r="AZ97" s="61">
        <f>$L$18*Table53[[#This Row],[Locality''s Allocation Percentage ]]</f>
        <v>12838.778247769442</v>
      </c>
      <c r="BA97" s="61">
        <f>$L$19*Table53[[#This Row],[Locality''s Allocation Percentage ]]</f>
        <v>12838.778247769442</v>
      </c>
      <c r="BB97" s="61">
        <f>$L$20*Table53[[#This Row],[Locality''s Allocation Percentage ]]</f>
        <v>10611.671201223979</v>
      </c>
      <c r="BC97" s="61">
        <f>$L$21*Table53[[#This Row],[Locality''s Allocation Percentage ]]</f>
        <v>10611.671201223979</v>
      </c>
      <c r="BD97" s="61">
        <f>$L$22*Table53[[#This Row],[Locality''s Allocation Percentage ]]</f>
        <v>7659.0961376233454</v>
      </c>
      <c r="BE97" s="61"/>
      <c r="BF97" s="61">
        <f t="shared" si="70"/>
        <v>0</v>
      </c>
      <c r="BG97" s="61">
        <f t="shared" si="70"/>
        <v>9198.4471240946532</v>
      </c>
      <c r="BH97" s="61">
        <f t="shared" si="75"/>
        <v>10647.675770901709</v>
      </c>
      <c r="BI97" s="61">
        <f t="shared" si="76"/>
        <v>4146.3559592898209</v>
      </c>
      <c r="BJ97" s="61">
        <f t="shared" si="77"/>
        <v>4549.2069975441273</v>
      </c>
      <c r="BK97" s="61">
        <f t="shared" si="78"/>
        <v>4846.5074701612875</v>
      </c>
      <c r="BL97" s="61">
        <f t="shared" si="79"/>
        <v>3647.6528973852114</v>
      </c>
      <c r="BM97" s="61">
        <f t="shared" si="80"/>
        <v>5187.6106068388544</v>
      </c>
      <c r="BN97" s="61">
        <f t="shared" si="81"/>
        <v>5218.7456578801894</v>
      </c>
      <c r="BO97" s="61">
        <f t="shared" si="82"/>
        <v>4853.5339203016456</v>
      </c>
      <c r="BP97" s="61">
        <f t="shared" si="83"/>
        <v>4489.6498052063826</v>
      </c>
      <c r="BQ97" s="61">
        <f t="shared" si="84"/>
        <v>4111.1343028147685</v>
      </c>
      <c r="BR97" s="61">
        <f t="shared" si="85"/>
        <v>3209.6945619423605</v>
      </c>
      <c r="BS97" s="61">
        <f t="shared" si="86"/>
        <v>3209.6945619423605</v>
      </c>
      <c r="BT97" s="61">
        <f t="shared" si="87"/>
        <v>3209.6945619423605</v>
      </c>
      <c r="BU97" s="61">
        <f t="shared" si="88"/>
        <v>2652.9178003059947</v>
      </c>
      <c r="BV97" s="61">
        <f t="shared" si="89"/>
        <v>2652.9178003059947</v>
      </c>
      <c r="BW97" s="61">
        <f t="shared" si="74"/>
        <v>1914.7740344058363</v>
      </c>
      <c r="BX97" s="61"/>
      <c r="BY97" s="61">
        <f>($C$6+$D$6+$E$6)*Table53[[#This Row],[Locality''s Allocation Percentage ]]</f>
        <v>101681.73530440583</v>
      </c>
      <c r="BZ97" s="61">
        <f>$L$6*Table53[[#This Row],[Locality''s Allocation Percentage ]]</f>
        <v>36793.788496378613</v>
      </c>
      <c r="CA97" s="61">
        <f t="shared" si="71"/>
        <v>9198.4471240946532</v>
      </c>
      <c r="CB97" s="76">
        <f>($C$7+$D$7+$E$7)*Table53[[#This Row],[Locality''s Allocation Percentage ]]</f>
        <v>36670.387803219477</v>
      </c>
      <c r="CC97" s="76">
        <f>$L$7*Table53[[#This Row],[Locality''s Allocation Percentage ]]</f>
        <v>42590.703083606837</v>
      </c>
      <c r="CD97" s="76">
        <f t="shared" si="72"/>
        <v>10647.675770901709</v>
      </c>
    </row>
    <row r="98" spans="13:82" s="19" customFormat="1" ht="18" customHeight="1" x14ac:dyDescent="0.25">
      <c r="M98" s="35"/>
      <c r="P98" s="36" t="s">
        <v>290</v>
      </c>
      <c r="Q98" s="37">
        <v>7.5000750007500096E-3</v>
      </c>
      <c r="S98" s="22" t="s">
        <v>163</v>
      </c>
      <c r="T98" s="61">
        <f>($C$5+$D$5+$E$5+$F$5+$G$5+$H$5+$I$5+$J$5+$K$5)*Table53[[#This Row],[Locality''s Allocation Percentage ]]</f>
        <v>30497.623860397092</v>
      </c>
      <c r="U98" s="61">
        <f>($C$6+$D$6+$E$6+$F$6+$G$6+$H$6+$I$6+$J$6+$K$6)*Table53[[#This Row],[Locality''s Allocation Percentage ]]</f>
        <v>193066.58602102395</v>
      </c>
      <c r="V98" s="61">
        <f>($C$7+$D$7+$E$7+$F$7+$G$7+$H$7+$I$7+$J$7+$K$7)*Table53[[#This Row],[Locality''s Allocation Percentage ]]</f>
        <v>238100.5024098641</v>
      </c>
      <c r="W98" s="61">
        <f>($C$8+$D$8+$E$8+$F$8+$G$8+$H$8+$I$8+$J$8+$K$8)*Table53[[#This Row],[Locality''s Allocation Percentage ]]</f>
        <v>91311.015567027585</v>
      </c>
      <c r="X98" s="61">
        <f>($C$9+$D$9+$E$9+$F$9+$G$9+$H$9+$I$9+$J$9+$K$9)*Table53[[#This Row],[Locality''s Allocation Percentage ]]</f>
        <v>98119.587073721515</v>
      </c>
      <c r="Y98" s="61">
        <f>($C$10+$D$10+$E$10+$F$10+$G$10+$H$10+$I$10+$J$10+$K$10)*Table53[[#This Row],[Locality''s Allocation Percentage ]]</f>
        <v>104277.70963656258</v>
      </c>
      <c r="Z98" s="61">
        <f>($C$11+$D$11+$E$11+$F$11+$G$11+$H$11+$I$11+$J$11+$K$11)*Table53[[#This Row],[Locality''s Allocation Percentage ]]</f>
        <v>79445.278900119098</v>
      </c>
      <c r="AA98" s="61">
        <f>($C$12+$D$12+$E$12+$F$12+$G$12+$H$12+$I$12+$J$12+$K$12)*Table53[[#This Row],[Locality''s Allocation Percentage ]]</f>
        <v>111343.13709363533</v>
      </c>
      <c r="AB98" s="61">
        <f>($C$13+$D$13+$E$13+$F$13+$G$13+$H$13+$I$13+$J$13+$K$13)*Table53[[#This Row],[Locality''s Allocation Percentage ]]</f>
        <v>111849.74118621809</v>
      </c>
      <c r="AC98" s="61">
        <f>($C$14+$D$14+$E$14+$F$14+$G$14+$H$14+$I$14+$J$14+$K$14)*Table53[[#This Row],[Locality''s Allocation Percentage ]]</f>
        <v>104724.12080485484</v>
      </c>
      <c r="AD98" s="61">
        <f>($C$15+$D$15+$E$15+$F$15+$G$15+$H$15+$I$15+$J$15+$K$15)*Table53[[#This Row],[Locality''s Allocation Percentage ]]</f>
        <v>97184.625320608844</v>
      </c>
      <c r="AE98" s="61">
        <f>($C$16+$D$16+$E$16+$F$16+$G$16+$H$16+$I$16+$J$16+$K$16)*Table53[[#This Row],[Locality''s Allocation Percentage ]]</f>
        <v>89344.258182462625</v>
      </c>
      <c r="AF98" s="61">
        <f>($C$17+$D$17+$E$17+$F$17+$G$17+$H$17+$I$17+$J$17+$K$17)*Table53[[#This Row],[Locality''s Allocation Percentage ]]</f>
        <v>68182.726866240366</v>
      </c>
      <c r="AG98" s="61">
        <f>($C$18+$D$18+$E$18+$F$18+$G$18+$H$18+$I$18+$J$18+$K$18)*Table53[[#This Row],[Locality''s Allocation Percentage ]]</f>
        <v>68182.726866240366</v>
      </c>
      <c r="AH98" s="61">
        <f>($C$19+$D$19+$E$19+$F$19+$G$19+$H$19+$I$19+$J$19+$K$19)*Table53[[#This Row],[Locality''s Allocation Percentage ]]</f>
        <v>68182.726866240366</v>
      </c>
      <c r="AI98" s="61">
        <f>($C$20+$D$20+$E$20+$F$20+$G$20+$H$20+$I$20+$J$20+$K$20)*Table53[[#This Row],[Locality''s Allocation Percentage ]]</f>
        <v>56649.951596442203</v>
      </c>
      <c r="AJ98" s="61">
        <f>($C$21+$D$21+$E$21+$F$21+$G$21+$H$21+$I$21+$J$21+$K$21)*Table53[[#This Row],[Locality''s Allocation Percentage ]]</f>
        <v>56649.951596442203</v>
      </c>
      <c r="AK98" s="61">
        <f>($C$22+$D$22+$E$22+$F$22+$G$22+$H$22+$I$22+$J$22+$K$22)*Table53[[#This Row],[Locality''s Allocation Percentage ]]</f>
        <v>39661.602553860866</v>
      </c>
      <c r="AL98" s="61"/>
      <c r="AM98" s="61"/>
      <c r="AN98" s="61">
        <f>$L$6*Table53[[#This Row],[Locality''s Allocation Percentage ]]</f>
        <v>69861.623727301238</v>
      </c>
      <c r="AO98" s="61">
        <f>$L$7*Table53[[#This Row],[Locality''s Allocation Percentage ]]</f>
        <v>80868.423576468776</v>
      </c>
      <c r="AP98" s="61">
        <f>$L$8*Table53[[#This Row],[Locality''s Allocation Percentage ]]</f>
        <v>31491.31108321387</v>
      </c>
      <c r="AQ98" s="61">
        <f>$L$9*Table53[[#This Row],[Locality''s Allocation Percentage ]]</f>
        <v>34550.939221854176</v>
      </c>
      <c r="AR98" s="61">
        <f>$L$10*Table53[[#This Row],[Locality''s Allocation Percentage ]]</f>
        <v>36808.917494895897</v>
      </c>
      <c r="AS98" s="61">
        <f>$L$11*Table53[[#This Row],[Locality''s Allocation Percentage ]]</f>
        <v>27703.692891533283</v>
      </c>
      <c r="AT98" s="61">
        <f>$L$12*Table53[[#This Row],[Locality''s Allocation Percentage ]]</f>
        <v>39399.574229155907</v>
      </c>
      <c r="AU98" s="61">
        <f>$L$13*Table53[[#This Row],[Locality''s Allocation Percentage ]]</f>
        <v>39636.042971241994</v>
      </c>
      <c r="AV98" s="61">
        <f>$L$14*Table53[[#This Row],[Locality''s Allocation Percentage ]]</f>
        <v>36862.282938999881</v>
      </c>
      <c r="AW98" s="61">
        <f>$L$15*Table53[[#This Row],[Locality''s Allocation Percentage ]]</f>
        <v>34098.606115491559</v>
      </c>
      <c r="AX98" s="61">
        <f>$L$16*Table53[[#This Row],[Locality''s Allocation Percentage ]]</f>
        <v>31223.804831504607</v>
      </c>
      <c r="AY98" s="61">
        <f>$L$17*Table53[[#This Row],[Locality''s Allocation Percentage ]]</f>
        <v>24377.427052726816</v>
      </c>
      <c r="AZ98" s="61">
        <f>$L$18*Table53[[#This Row],[Locality''s Allocation Percentage ]]</f>
        <v>24377.427052726816</v>
      </c>
      <c r="BA98" s="61">
        <f>$L$19*Table53[[#This Row],[Locality''s Allocation Percentage ]]</f>
        <v>24377.427052726816</v>
      </c>
      <c r="BB98" s="61">
        <f>$L$20*Table53[[#This Row],[Locality''s Allocation Percentage ]]</f>
        <v>20148.742787134161</v>
      </c>
      <c r="BC98" s="61">
        <f>$L$21*Table53[[#This Row],[Locality''s Allocation Percentage ]]</f>
        <v>20148.742787134161</v>
      </c>
      <c r="BD98" s="61">
        <f>$L$22*Table53[[#This Row],[Locality''s Allocation Percentage ]]</f>
        <v>14542.587603082318</v>
      </c>
      <c r="BE98" s="61"/>
      <c r="BF98" s="61">
        <f t="shared" si="70"/>
        <v>0</v>
      </c>
      <c r="BG98" s="61">
        <f t="shared" si="70"/>
        <v>17465.405931825309</v>
      </c>
      <c r="BH98" s="61">
        <f t="shared" si="75"/>
        <v>20217.105894117194</v>
      </c>
      <c r="BI98" s="61">
        <f t="shared" si="76"/>
        <v>7872.8277708034675</v>
      </c>
      <c r="BJ98" s="61">
        <f t="shared" si="77"/>
        <v>8637.734805463544</v>
      </c>
      <c r="BK98" s="61">
        <f t="shared" si="78"/>
        <v>9202.2293737239743</v>
      </c>
      <c r="BL98" s="61">
        <f t="shared" si="79"/>
        <v>6925.9232228833207</v>
      </c>
      <c r="BM98" s="61">
        <f t="shared" si="80"/>
        <v>9849.8935572889768</v>
      </c>
      <c r="BN98" s="61">
        <f t="shared" si="81"/>
        <v>9909.0107428104984</v>
      </c>
      <c r="BO98" s="61">
        <f t="shared" si="82"/>
        <v>9215.5707347499701</v>
      </c>
      <c r="BP98" s="61">
        <f t="shared" si="83"/>
        <v>8524.6515288728897</v>
      </c>
      <c r="BQ98" s="61">
        <f t="shared" si="84"/>
        <v>7805.9512078761518</v>
      </c>
      <c r="BR98" s="61">
        <f t="shared" si="85"/>
        <v>6094.3567631817041</v>
      </c>
      <c r="BS98" s="61">
        <f t="shared" si="86"/>
        <v>6094.3567631817041</v>
      </c>
      <c r="BT98" s="61">
        <f t="shared" si="87"/>
        <v>6094.3567631817041</v>
      </c>
      <c r="BU98" s="61">
        <f t="shared" si="88"/>
        <v>5037.1856967835402</v>
      </c>
      <c r="BV98" s="61">
        <f t="shared" si="89"/>
        <v>5037.1856967835402</v>
      </c>
      <c r="BW98" s="61">
        <f t="shared" si="74"/>
        <v>3635.6469007705796</v>
      </c>
      <c r="BX98" s="61"/>
      <c r="BY98" s="61">
        <f>($C$6+$D$6+$E$6)*Table53[[#This Row],[Locality''s Allocation Percentage ]]</f>
        <v>193066.58602102395</v>
      </c>
      <c r="BZ98" s="61">
        <f>$L$6*Table53[[#This Row],[Locality''s Allocation Percentage ]]</f>
        <v>69861.623727301238</v>
      </c>
      <c r="CA98" s="61">
        <f t="shared" si="71"/>
        <v>17465.405931825309</v>
      </c>
      <c r="CB98" s="76">
        <f>($C$7+$D$7+$E$7)*Table53[[#This Row],[Locality''s Allocation Percentage ]]</f>
        <v>69627.318613707961</v>
      </c>
      <c r="CC98" s="76">
        <f>$L$7*Table53[[#This Row],[Locality''s Allocation Percentage ]]</f>
        <v>80868.423576468776</v>
      </c>
      <c r="CD98" s="76">
        <f t="shared" si="72"/>
        <v>20217.105894117194</v>
      </c>
    </row>
    <row r="99" spans="13:82" s="19" customFormat="1" ht="18" customHeight="1" x14ac:dyDescent="0.25">
      <c r="M99" s="35"/>
      <c r="P99" s="36" t="s">
        <v>164</v>
      </c>
      <c r="Q99" s="37">
        <v>1.860018600186E-3</v>
      </c>
      <c r="S99" s="22" t="s">
        <v>164</v>
      </c>
      <c r="T99" s="61">
        <f>($C$5+$D$5+$E$5+$F$5+$G$5+$H$5+$I$5+$J$5+$K$5)*Table53[[#This Row],[Locality''s Allocation Percentage ]]</f>
        <v>7563.4107173784696</v>
      </c>
      <c r="U99" s="61">
        <f>($C$6+$D$6+$E$6+$F$6+$G$6+$H$6+$I$6+$J$6+$K$6)*Table53[[#This Row],[Locality''s Allocation Percentage ]]</f>
        <v>47880.513333213879</v>
      </c>
      <c r="V99" s="61">
        <f>($C$7+$D$7+$E$7+$F$7+$G$7+$H$7+$I$7+$J$7+$K$7)*Table53[[#This Row],[Locality''s Allocation Percentage ]]</f>
        <v>59048.924597646226</v>
      </c>
      <c r="W99" s="61">
        <f>($C$8+$D$8+$E$8+$F$8+$G$8+$H$8+$I$8+$J$8+$K$8)*Table53[[#This Row],[Locality''s Allocation Percentage ]]</f>
        <v>22645.131860622812</v>
      </c>
      <c r="X99" s="61">
        <f>($C$9+$D$9+$E$9+$F$9+$G$9+$H$9+$I$9+$J$9+$K$9)*Table53[[#This Row],[Locality''s Allocation Percentage ]]</f>
        <v>24333.657594282908</v>
      </c>
      <c r="Y99" s="61">
        <f>($C$10+$D$10+$E$10+$F$10+$G$10+$H$10+$I$10+$J$10+$K$10)*Table53[[#This Row],[Locality''s Allocation Percentage ]]</f>
        <v>25860.871989867486</v>
      </c>
      <c r="Z99" s="61">
        <f>($C$11+$D$11+$E$11+$F$11+$G$11+$H$11+$I$11+$J$11+$K$11)*Table53[[#This Row],[Locality''s Allocation Percentage ]]</f>
        <v>19702.429167229511</v>
      </c>
      <c r="AA99" s="61">
        <f>($C$12+$D$12+$E$12+$F$12+$G$12+$H$12+$I$12+$J$12+$K$12)*Table53[[#This Row],[Locality''s Allocation Percentage ]]</f>
        <v>27613.097999221529</v>
      </c>
      <c r="AB99" s="61">
        <f>($C$13+$D$13+$E$13+$F$13+$G$13+$H$13+$I$13+$J$13+$K$13)*Table53[[#This Row],[Locality''s Allocation Percentage ]]</f>
        <v>27738.735814182051</v>
      </c>
      <c r="AC99" s="61">
        <f>($C$14+$D$14+$E$14+$F$14+$G$14+$H$14+$I$14+$J$14+$K$14)*Table53[[#This Row],[Locality''s Allocation Percentage ]]</f>
        <v>25971.581959603969</v>
      </c>
      <c r="AD99" s="61">
        <f>($C$15+$D$15+$E$15+$F$15+$G$15+$H$15+$I$15+$J$15+$K$15)*Table53[[#This Row],[Locality''s Allocation Percentage ]]</f>
        <v>24101.787079510963</v>
      </c>
      <c r="AE99" s="61">
        <f>($C$16+$D$16+$E$16+$F$16+$G$16+$H$16+$I$16+$J$16+$K$16)*Table53[[#This Row],[Locality''s Allocation Percentage ]]</f>
        <v>22157.376029250703</v>
      </c>
      <c r="AF99" s="61">
        <f>($C$17+$D$17+$E$17+$F$17+$G$17+$H$17+$I$17+$J$17+$K$17)*Table53[[#This Row],[Locality''s Allocation Percentage ]]</f>
        <v>16909.316262827586</v>
      </c>
      <c r="AG99" s="61">
        <f>($C$18+$D$18+$E$18+$F$18+$G$18+$H$18+$I$18+$J$18+$K$18)*Table53[[#This Row],[Locality''s Allocation Percentage ]]</f>
        <v>16909.316262827586</v>
      </c>
      <c r="AH99" s="61">
        <f>($C$19+$D$19+$E$19+$F$19+$G$19+$H$19+$I$19+$J$19+$K$19)*Table53[[#This Row],[Locality''s Allocation Percentage ]]</f>
        <v>16909.316262827586</v>
      </c>
      <c r="AI99" s="61">
        <f>($C$20+$D$20+$E$20+$F$20+$G$20+$H$20+$I$20+$J$20+$K$20)*Table53[[#This Row],[Locality''s Allocation Percentage ]]</f>
        <v>14049.187995917649</v>
      </c>
      <c r="AJ99" s="61">
        <f>($C$21+$D$21+$E$21+$F$21+$G$21+$H$21+$I$21+$J$21+$K$21)*Table53[[#This Row],[Locality''s Allocation Percentage ]]</f>
        <v>14049.187995917649</v>
      </c>
      <c r="AK99" s="61">
        <f>($C$22+$D$22+$E$22+$F$22+$G$22+$H$22+$I$22+$J$22+$K$22)*Table53[[#This Row],[Locality''s Allocation Percentage ]]</f>
        <v>9836.0774333574827</v>
      </c>
      <c r="AL99" s="61"/>
      <c r="AM99" s="61"/>
      <c r="AN99" s="61">
        <f>$L$6*Table53[[#This Row],[Locality''s Allocation Percentage ]]</f>
        <v>17325.682684370684</v>
      </c>
      <c r="AO99" s="61">
        <f>$L$7*Table53[[#This Row],[Locality''s Allocation Percentage ]]</f>
        <v>20055.369046964232</v>
      </c>
      <c r="AP99" s="61">
        <f>$L$8*Table53[[#This Row],[Locality''s Allocation Percentage ]]</f>
        <v>7809.8451486370295</v>
      </c>
      <c r="AQ99" s="61">
        <f>$L$9*Table53[[#This Row],[Locality''s Allocation Percentage ]]</f>
        <v>8568.6329270198239</v>
      </c>
      <c r="AR99" s="61">
        <f>$L$10*Table53[[#This Row],[Locality''s Allocation Percentage ]]</f>
        <v>9128.6115387341706</v>
      </c>
      <c r="AS99" s="61">
        <f>$L$11*Table53[[#This Row],[Locality''s Allocation Percentage ]]</f>
        <v>6870.5158371002453</v>
      </c>
      <c r="AT99" s="61">
        <f>$L$12*Table53[[#This Row],[Locality''s Allocation Percentage ]]</f>
        <v>9771.0944088306514</v>
      </c>
      <c r="AU99" s="61">
        <f>$L$13*Table53[[#This Row],[Locality''s Allocation Percentage ]]</f>
        <v>9829.7386568680013</v>
      </c>
      <c r="AV99" s="61">
        <f>$L$14*Table53[[#This Row],[Locality''s Allocation Percentage ]]</f>
        <v>9141.8461688719599</v>
      </c>
      <c r="AW99" s="61">
        <f>$L$15*Table53[[#This Row],[Locality''s Allocation Percentage ]]</f>
        <v>8456.4543166418953</v>
      </c>
      <c r="AX99" s="61">
        <f>$L$16*Table53[[#This Row],[Locality''s Allocation Percentage ]]</f>
        <v>7743.503598213133</v>
      </c>
      <c r="AY99" s="61">
        <f>$L$17*Table53[[#This Row],[Locality''s Allocation Percentage ]]</f>
        <v>6045.6019090762429</v>
      </c>
      <c r="AZ99" s="61">
        <f>$L$18*Table53[[#This Row],[Locality''s Allocation Percentage ]]</f>
        <v>6045.6019090762429</v>
      </c>
      <c r="BA99" s="61">
        <f>$L$19*Table53[[#This Row],[Locality''s Allocation Percentage ]]</f>
        <v>6045.6019090762429</v>
      </c>
      <c r="BB99" s="61">
        <f>$L$20*Table53[[#This Row],[Locality''s Allocation Percentage ]]</f>
        <v>4996.888211209266</v>
      </c>
      <c r="BC99" s="61">
        <f>$L$21*Table53[[#This Row],[Locality''s Allocation Percentage ]]</f>
        <v>4996.888211209266</v>
      </c>
      <c r="BD99" s="61">
        <f>$L$22*Table53[[#This Row],[Locality''s Allocation Percentage ]]</f>
        <v>3606.5617255644102</v>
      </c>
      <c r="BE99" s="61"/>
      <c r="BF99" s="61">
        <f t="shared" si="70"/>
        <v>0</v>
      </c>
      <c r="BG99" s="61">
        <f t="shared" si="70"/>
        <v>4331.420671092671</v>
      </c>
      <c r="BH99" s="61">
        <f t="shared" si="75"/>
        <v>5013.8422617410579</v>
      </c>
      <c r="BI99" s="61">
        <f t="shared" si="76"/>
        <v>1952.4612871592574</v>
      </c>
      <c r="BJ99" s="61">
        <f t="shared" si="77"/>
        <v>2142.158231754956</v>
      </c>
      <c r="BK99" s="61">
        <f t="shared" si="78"/>
        <v>2282.1528846835427</v>
      </c>
      <c r="BL99" s="61">
        <f t="shared" si="79"/>
        <v>1717.6289592750613</v>
      </c>
      <c r="BM99" s="61">
        <f t="shared" si="80"/>
        <v>2442.7736022076629</v>
      </c>
      <c r="BN99" s="61">
        <f t="shared" si="81"/>
        <v>2457.4346642170003</v>
      </c>
      <c r="BO99" s="61">
        <f t="shared" si="82"/>
        <v>2285.46154221799</v>
      </c>
      <c r="BP99" s="61">
        <f t="shared" si="83"/>
        <v>2114.1135791604738</v>
      </c>
      <c r="BQ99" s="61">
        <f t="shared" si="84"/>
        <v>1935.8758995532833</v>
      </c>
      <c r="BR99" s="61">
        <f t="shared" si="85"/>
        <v>1511.4004772690607</v>
      </c>
      <c r="BS99" s="61">
        <f t="shared" si="86"/>
        <v>1511.4004772690607</v>
      </c>
      <c r="BT99" s="61">
        <f t="shared" si="87"/>
        <v>1511.4004772690607</v>
      </c>
      <c r="BU99" s="61">
        <f t="shared" si="88"/>
        <v>1249.2220528023165</v>
      </c>
      <c r="BV99" s="61">
        <f t="shared" si="89"/>
        <v>1249.2220528023165</v>
      </c>
      <c r="BW99" s="61">
        <f t="shared" si="74"/>
        <v>901.64043139110254</v>
      </c>
      <c r="BX99" s="61"/>
      <c r="BY99" s="61">
        <f>($C$6+$D$6+$E$6)*Table53[[#This Row],[Locality''s Allocation Percentage ]]</f>
        <v>47880.513333213879</v>
      </c>
      <c r="BZ99" s="61">
        <f>$L$6*Table53[[#This Row],[Locality''s Allocation Percentage ]]</f>
        <v>17325.682684370684</v>
      </c>
      <c r="CA99" s="61">
        <f t="shared" si="71"/>
        <v>4331.420671092671</v>
      </c>
      <c r="CB99" s="76">
        <f>($C$7+$D$7+$E$7)*Table53[[#This Row],[Locality''s Allocation Percentage ]]</f>
        <v>17267.575016199549</v>
      </c>
      <c r="CC99" s="76">
        <f>$L$7*Table53[[#This Row],[Locality''s Allocation Percentage ]]</f>
        <v>20055.369046964232</v>
      </c>
      <c r="CD99" s="76">
        <f t="shared" si="72"/>
        <v>5013.8422617410579</v>
      </c>
    </row>
    <row r="100" spans="13:82" s="19" customFormat="1" ht="18" customHeight="1" x14ac:dyDescent="0.25">
      <c r="M100" s="35"/>
      <c r="P100" s="36" t="s">
        <v>165</v>
      </c>
      <c r="Q100" s="37">
        <v>1.9370193701936999E-2</v>
      </c>
      <c r="S100" s="22" t="s">
        <v>165</v>
      </c>
      <c r="T100" s="61">
        <f>($C$5+$D$5+$E$5+$F$5+$G$5+$H$5+$I$5+$J$5+$K$5)*Table53[[#This Row],[Locality''s Allocation Percentage ]]</f>
        <v>78765.19655678545</v>
      </c>
      <c r="U100" s="61">
        <f>($C$6+$D$6+$E$6+$F$6+$G$6+$H$6+$I$6+$J$6+$K$6)*Table53[[#This Row],[Locality''s Allocation Percentage ]]</f>
        <v>498626.63616363046</v>
      </c>
      <c r="V100" s="61">
        <f>($C$7+$D$7+$E$7+$F$7+$G$7+$H$7+$I$7+$J$7+$K$7)*Table53[[#This Row],[Locality''s Allocation Percentage ]]</f>
        <v>614934.23089054157</v>
      </c>
      <c r="W100" s="61">
        <f>($C$8+$D$8+$E$8+$F$8+$G$8+$H$8+$I$8+$J$8+$K$8)*Table53[[#This Row],[Locality''s Allocation Percentage ]]</f>
        <v>235825.91620444291</v>
      </c>
      <c r="X100" s="61">
        <f>($C$9+$D$9+$E$9+$F$9+$G$9+$H$9+$I$9+$J$9+$K$9)*Table53[[#This Row],[Locality''s Allocation Percentage ]]</f>
        <v>253410.18688239777</v>
      </c>
      <c r="Y100" s="61">
        <f>($C$10+$D$10+$E$10+$F$10+$G$10+$H$10+$I$10+$J$10+$K$10)*Table53[[#This Row],[Locality''s Allocation Percentage ]]</f>
        <v>269314.56475469528</v>
      </c>
      <c r="Z100" s="61">
        <f>($C$11+$D$11+$E$11+$F$11+$G$11+$H$11+$I$11+$J$11+$K$11)*Table53[[#This Row],[Locality''s Allocation Percentage ]]</f>
        <v>205180.673639374</v>
      </c>
      <c r="AA100" s="61">
        <f>($C$12+$D$12+$E$12+$F$12+$G$12+$H$12+$I$12+$J$12+$K$12)*Table53[[#This Row],[Locality''s Allocation Percentage ]]</f>
        <v>287562.20873382845</v>
      </c>
      <c r="AB100" s="61">
        <f>($C$13+$D$13+$E$13+$F$13+$G$13+$H$13+$I$13+$J$13+$K$13)*Table53[[#This Row],[Locality''s Allocation Percentage ]]</f>
        <v>288870.59823693888</v>
      </c>
      <c r="AC100" s="61">
        <f>($C$14+$D$14+$E$14+$F$14+$G$14+$H$14+$I$14+$J$14+$K$14)*Table53[[#This Row],[Locality''s Allocation Percentage ]]</f>
        <v>270467.49599867139</v>
      </c>
      <c r="AD100" s="61">
        <f>($C$15+$D$15+$E$15+$F$15+$G$15+$H$15+$I$15+$J$15+$K$15)*Table53[[#This Row],[Locality''s Allocation Percentage ]]</f>
        <v>250995.49232802543</v>
      </c>
      <c r="AE100" s="61">
        <f>($C$16+$D$16+$E$16+$F$16+$G$16+$H$16+$I$16+$J$16+$K$16)*Table53[[#This Row],[Locality''s Allocation Percentage ]]</f>
        <v>230746.43746590649</v>
      </c>
      <c r="AF100" s="61">
        <f>($C$17+$D$17+$E$17+$F$17+$G$17+$H$17+$I$17+$J$17+$K$17)*Table53[[#This Row],[Locality''s Allocation Percentage ]]</f>
        <v>176093.25591987654</v>
      </c>
      <c r="AG100" s="61">
        <f>($C$18+$D$18+$E$18+$F$18+$G$18+$H$18+$I$18+$J$18+$K$18)*Table53[[#This Row],[Locality''s Allocation Percentage ]]</f>
        <v>176093.25591987654</v>
      </c>
      <c r="AH100" s="61">
        <f>($C$19+$D$19+$E$19+$F$19+$G$19+$H$19+$I$19+$J$19+$K$19)*Table53[[#This Row],[Locality''s Allocation Percentage ]]</f>
        <v>176093.25591987654</v>
      </c>
      <c r="AI100" s="61">
        <f>($C$20+$D$20+$E$20+$F$20+$G$20+$H$20+$I$20+$J$20+$K$20)*Table53[[#This Row],[Locality''s Allocation Percentage ]]</f>
        <v>146307.94165641119</v>
      </c>
      <c r="AJ100" s="61">
        <f>($C$21+$D$21+$E$21+$F$21+$G$21+$H$21+$I$21+$J$21+$K$21)*Table53[[#This Row],[Locality''s Allocation Percentage ]]</f>
        <v>146307.94165641119</v>
      </c>
      <c r="AK100" s="61">
        <f>($C$22+$D$22+$E$22+$F$22+$G$22+$H$22+$I$22+$J$22+$K$22)*Table53[[#This Row],[Locality''s Allocation Percentage ]]</f>
        <v>102432.69886243787</v>
      </c>
      <c r="AL100" s="61"/>
      <c r="AM100" s="61"/>
      <c r="AN100" s="61">
        <f>$L$6*Table53[[#This Row],[Locality''s Allocation Percentage ]]</f>
        <v>180429.28687970975</v>
      </c>
      <c r="AO100" s="61">
        <f>$L$7*Table53[[#This Row],[Locality''s Allocation Percentage ]]</f>
        <v>208856.18195682642</v>
      </c>
      <c r="AP100" s="61">
        <f>$L$8*Table53[[#This Row],[Locality''s Allocation Percentage ]]</f>
        <v>81331.559424246909</v>
      </c>
      <c r="AQ100" s="61">
        <f>$L$9*Table53[[#This Row],[Locality''s Allocation Percentage ]]</f>
        <v>89233.559030308592</v>
      </c>
      <c r="AR100" s="61">
        <f>$L$10*Table53[[#This Row],[Locality''s Allocation Percentage ]]</f>
        <v>95065.164250151007</v>
      </c>
      <c r="AS100" s="61">
        <f>$L$11*Table53[[#This Row],[Locality''s Allocation Percentage ]]</f>
        <v>71549.404174533192</v>
      </c>
      <c r="AT100" s="61">
        <f>$L$12*Table53[[#This Row],[Locality''s Allocation Percentage ]]</f>
        <v>101755.96704249985</v>
      </c>
      <c r="AU100" s="61">
        <f>$L$13*Table53[[#This Row],[Locality''s Allocation Percentage ]]</f>
        <v>102366.68698039418</v>
      </c>
      <c r="AV100" s="61">
        <f>$L$14*Table53[[#This Row],[Locality''s Allocation Percentage ]]</f>
        <v>95202.989403790241</v>
      </c>
      <c r="AW100" s="61">
        <f>$L$15*Table53[[#This Row],[Locality''s Allocation Percentage ]]</f>
        <v>88065.33339427608</v>
      </c>
      <c r="AX100" s="61">
        <f>$L$16*Table53[[#This Row],[Locality''s Allocation Percentage ]]</f>
        <v>80640.67994483246</v>
      </c>
      <c r="AY100" s="61">
        <f>$L$17*Table53[[#This Row],[Locality''s Allocation Percentage ]]</f>
        <v>62958.768268175707</v>
      </c>
      <c r="AZ100" s="61">
        <f>$L$18*Table53[[#This Row],[Locality''s Allocation Percentage ]]</f>
        <v>62958.768268175707</v>
      </c>
      <c r="BA100" s="61">
        <f>$L$19*Table53[[#This Row],[Locality''s Allocation Percentage ]]</f>
        <v>62958.768268175707</v>
      </c>
      <c r="BB100" s="61">
        <f>$L$20*Table53[[#This Row],[Locality''s Allocation Percentage ]]</f>
        <v>52037.486371571758</v>
      </c>
      <c r="BC100" s="61">
        <f>$L$21*Table53[[#This Row],[Locality''s Allocation Percentage ]]</f>
        <v>52037.486371571758</v>
      </c>
      <c r="BD100" s="61">
        <f>$L$22*Table53[[#This Row],[Locality''s Allocation Percentage ]]</f>
        <v>37558.656249560547</v>
      </c>
      <c r="BE100" s="61"/>
      <c r="BF100" s="61">
        <f t="shared" si="70"/>
        <v>0</v>
      </c>
      <c r="BG100" s="61">
        <f t="shared" si="70"/>
        <v>45107.321719927437</v>
      </c>
      <c r="BH100" s="61">
        <f t="shared" si="75"/>
        <v>52214.045489206605</v>
      </c>
      <c r="BI100" s="61">
        <f t="shared" si="76"/>
        <v>20332.889856061727</v>
      </c>
      <c r="BJ100" s="61">
        <f t="shared" si="77"/>
        <v>22308.389757577148</v>
      </c>
      <c r="BK100" s="61">
        <f t="shared" si="78"/>
        <v>23766.291062537752</v>
      </c>
      <c r="BL100" s="61">
        <f t="shared" si="79"/>
        <v>17887.351043633298</v>
      </c>
      <c r="BM100" s="61">
        <f t="shared" si="80"/>
        <v>25438.991760624962</v>
      </c>
      <c r="BN100" s="61">
        <f t="shared" si="81"/>
        <v>25591.671745098545</v>
      </c>
      <c r="BO100" s="61">
        <f t="shared" si="82"/>
        <v>23800.74735094756</v>
      </c>
      <c r="BP100" s="61">
        <f t="shared" si="83"/>
        <v>22016.33334856902</v>
      </c>
      <c r="BQ100" s="61">
        <f t="shared" si="84"/>
        <v>20160.169986208115</v>
      </c>
      <c r="BR100" s="61">
        <f t="shared" si="85"/>
        <v>15739.692067043927</v>
      </c>
      <c r="BS100" s="61">
        <f t="shared" si="86"/>
        <v>15739.692067043927</v>
      </c>
      <c r="BT100" s="61">
        <f t="shared" si="87"/>
        <v>15739.692067043927</v>
      </c>
      <c r="BU100" s="61">
        <f t="shared" si="88"/>
        <v>13009.37159289294</v>
      </c>
      <c r="BV100" s="61">
        <f t="shared" si="89"/>
        <v>13009.37159289294</v>
      </c>
      <c r="BW100" s="61">
        <f t="shared" si="74"/>
        <v>9389.6640623901367</v>
      </c>
      <c r="BX100" s="61"/>
      <c r="BY100" s="61">
        <f>($C$6+$D$6+$E$6)*Table53[[#This Row],[Locality''s Allocation Percentage ]]</f>
        <v>498626.63616363046</v>
      </c>
      <c r="BZ100" s="61">
        <f>$L$6*Table53[[#This Row],[Locality''s Allocation Percentage ]]</f>
        <v>180429.28687970975</v>
      </c>
      <c r="CA100" s="61">
        <f t="shared" si="71"/>
        <v>45107.321719927437</v>
      </c>
      <c r="CB100" s="76">
        <f>($C$7+$D$7+$E$7)*Table53[[#This Row],[Locality''s Allocation Percentage ]]</f>
        <v>179824.15487300284</v>
      </c>
      <c r="CC100" s="76">
        <f>$L$7*Table53[[#This Row],[Locality''s Allocation Percentage ]]</f>
        <v>208856.18195682642</v>
      </c>
      <c r="CD100" s="76">
        <f t="shared" si="72"/>
        <v>52214.045489206605</v>
      </c>
    </row>
    <row r="101" spans="13:82" s="19" customFormat="1" ht="18" customHeight="1" x14ac:dyDescent="0.25">
      <c r="M101" s="35"/>
      <c r="P101" s="36" t="s">
        <v>291</v>
      </c>
      <c r="Q101" s="37">
        <v>2.6200262002619998E-3</v>
      </c>
      <c r="S101" s="22" t="s">
        <v>166</v>
      </c>
      <c r="T101" s="61">
        <f>($C$5+$D$5+$E$5+$F$5+$G$5+$H$5+$I$5+$J$5+$K$5)*Table53[[#This Row],[Locality''s Allocation Percentage ]]</f>
        <v>10653.836601898704</v>
      </c>
      <c r="U101" s="61">
        <f>($C$6+$D$6+$E$6+$F$6+$G$6+$H$6+$I$6+$J$6+$K$6)*Table53[[#This Row],[Locality''s Allocation Percentage ]]</f>
        <v>67444.594050010943</v>
      </c>
      <c r="V101" s="61">
        <f>($C$7+$D$7+$E$7+$F$7+$G$7+$H$7+$I$7+$J$7+$K$7)*Table53[[#This Row],[Locality''s Allocation Percentage ]]</f>
        <v>83176.44217517908</v>
      </c>
      <c r="W101" s="61">
        <f>($C$8+$D$8+$E$8+$F$8+$G$8+$H$8+$I$8+$J$8+$K$8)*Table53[[#This Row],[Locality''s Allocation Percentage ]]</f>
        <v>31897.981438081591</v>
      </c>
      <c r="X101" s="61">
        <f>($C$9+$D$9+$E$9+$F$9+$G$9+$H$9+$I$9+$J$9+$K$9)*Table53[[#This Row],[Locality''s Allocation Percentage ]]</f>
        <v>34276.442417753336</v>
      </c>
      <c r="Y101" s="61">
        <f>($C$10+$D$10+$E$10+$F$10+$G$10+$H$10+$I$10+$J$10+$K$10)*Table53[[#This Row],[Locality''s Allocation Percentage ]]</f>
        <v>36427.679899705814</v>
      </c>
      <c r="Z101" s="61">
        <f>($C$11+$D$11+$E$11+$F$11+$G$11+$H$11+$I$11+$J$11+$K$11)*Table53[[#This Row],[Locality''s Allocation Percentage ]]</f>
        <v>27752.884095774902</v>
      </c>
      <c r="AA101" s="61">
        <f>($C$12+$D$12+$E$12+$F$12+$G$12+$H$12+$I$12+$J$12+$K$12)*Table53[[#This Row],[Locality''s Allocation Percentage ]]</f>
        <v>38895.869224709888</v>
      </c>
      <c r="AB101" s="61">
        <f>($C$13+$D$13+$E$13+$F$13+$G$13+$H$13+$I$13+$J$13+$K$13)*Table53[[#This Row],[Locality''s Allocation Percentage ]]</f>
        <v>39072.842921052135</v>
      </c>
      <c r="AC101" s="61">
        <f>($C$14+$D$14+$E$14+$F$14+$G$14+$H$14+$I$14+$J$14+$K$14)*Table53[[#This Row],[Locality''s Allocation Percentage ]]</f>
        <v>36583.626201162573</v>
      </c>
      <c r="AD101" s="61">
        <f>($C$15+$D$15+$E$15+$F$15+$G$15+$H$15+$I$15+$J$15+$K$15)*Table53[[#This Row],[Locality''s Allocation Percentage ]]</f>
        <v>33949.829111999308</v>
      </c>
      <c r="AE101" s="61">
        <f>($C$16+$D$16+$E$16+$F$16+$G$16+$H$16+$I$16+$J$16+$K$16)*Table53[[#This Row],[Locality''s Allocation Percentage ]]</f>
        <v>31210.92752507357</v>
      </c>
      <c r="AF101" s="61">
        <f>($C$17+$D$17+$E$17+$F$17+$G$17+$H$17+$I$17+$J$17+$K$17)*Table53[[#This Row],[Locality''s Allocation Percentage ]]</f>
        <v>23818.499251939935</v>
      </c>
      <c r="AG101" s="61">
        <f>($C$18+$D$18+$E$18+$F$18+$G$18+$H$18+$I$18+$J$18+$K$18)*Table53[[#This Row],[Locality''s Allocation Percentage ]]</f>
        <v>23818.499251939935</v>
      </c>
      <c r="AH101" s="61">
        <f>($C$19+$D$19+$E$19+$F$19+$G$19+$H$19+$I$19+$J$19+$K$19)*Table53[[#This Row],[Locality''s Allocation Percentage ]]</f>
        <v>23818.499251939935</v>
      </c>
      <c r="AI101" s="61">
        <f>($C$20+$D$20+$E$20+$F$20+$G$20+$H$20+$I$20+$J$20+$K$20)*Table53[[#This Row],[Locality''s Allocation Percentage ]]</f>
        <v>19789.716424357117</v>
      </c>
      <c r="AJ101" s="61">
        <f>($C$21+$D$21+$E$21+$F$21+$G$21+$H$21+$I$21+$J$21+$K$21)*Table53[[#This Row],[Locality''s Allocation Percentage ]]</f>
        <v>19789.716424357117</v>
      </c>
      <c r="AK101" s="61">
        <f>($C$22+$D$22+$E$22+$F$22+$G$22+$H$22+$I$22+$J$22+$K$22)*Table53[[#This Row],[Locality''s Allocation Percentage ]]</f>
        <v>13855.119825482045</v>
      </c>
      <c r="AL101" s="61"/>
      <c r="AM101" s="61"/>
      <c r="AN101" s="61">
        <f>$L$6*Table53[[#This Row],[Locality''s Allocation Percentage ]]</f>
        <v>24404.993888737201</v>
      </c>
      <c r="AO101" s="61">
        <f>$L$7*Table53[[#This Row],[Locality''s Allocation Percentage ]]</f>
        <v>28250.035969379722</v>
      </c>
      <c r="AP101" s="61">
        <f>$L$8*Table53[[#This Row],[Locality''s Allocation Percentage ]]</f>
        <v>11000.96467173603</v>
      </c>
      <c r="AQ101" s="61">
        <f>$L$9*Table53[[#This Row],[Locality''s Allocation Percentage ]]</f>
        <v>12069.794768167709</v>
      </c>
      <c r="AR101" s="61">
        <f>$L$10*Table53[[#This Row],[Locality''s Allocation Percentage ]]</f>
        <v>12858.581844883616</v>
      </c>
      <c r="AS101" s="61">
        <f>$L$11*Table53[[#This Row],[Locality''s Allocation Percentage ]]</f>
        <v>9677.8233834422808</v>
      </c>
      <c r="AT101" s="61">
        <f>$L$12*Table53[[#This Row],[Locality''s Allocation Percentage ]]</f>
        <v>13763.58459738511</v>
      </c>
      <c r="AU101" s="61">
        <f>$L$13*Table53[[#This Row],[Locality''s Allocation Percentage ]]</f>
        <v>13846.191011287185</v>
      </c>
      <c r="AV101" s="61">
        <f>$L$14*Table53[[#This Row],[Locality''s Allocation Percentage ]]</f>
        <v>12877.224173357276</v>
      </c>
      <c r="AW101" s="61">
        <f>$L$15*Table53[[#This Row],[Locality''s Allocation Percentage ]]</f>
        <v>11911.779736345034</v>
      </c>
      <c r="AX101" s="61">
        <f>$L$16*Table53[[#This Row],[Locality''s Allocation Percentage ]]</f>
        <v>10907.515821138928</v>
      </c>
      <c r="AY101" s="61">
        <f>$L$17*Table53[[#This Row],[Locality''s Allocation Percentage ]]</f>
        <v>8515.8478504192226</v>
      </c>
      <c r="AZ101" s="61">
        <f>$L$18*Table53[[#This Row],[Locality''s Allocation Percentage ]]</f>
        <v>8515.8478504192226</v>
      </c>
      <c r="BA101" s="61">
        <f>$L$19*Table53[[#This Row],[Locality''s Allocation Percentage ]]</f>
        <v>8515.8478504192226</v>
      </c>
      <c r="BB101" s="61">
        <f>$L$20*Table53[[#This Row],[Locality''s Allocation Percentage ]]</f>
        <v>7038.6274803055239</v>
      </c>
      <c r="BC101" s="61">
        <f>$L$21*Table53[[#This Row],[Locality''s Allocation Percentage ]]</f>
        <v>7038.6274803055239</v>
      </c>
      <c r="BD101" s="61">
        <f>$L$22*Table53[[#This Row],[Locality''s Allocation Percentage ]]</f>
        <v>5080.2106026767497</v>
      </c>
      <c r="BE101" s="61"/>
      <c r="BF101" s="61">
        <f t="shared" si="70"/>
        <v>0</v>
      </c>
      <c r="BG101" s="61">
        <f t="shared" si="70"/>
        <v>6101.2484721843002</v>
      </c>
      <c r="BH101" s="61">
        <f t="shared" si="75"/>
        <v>7062.5089923449304</v>
      </c>
      <c r="BI101" s="61">
        <f t="shared" si="76"/>
        <v>2750.2411679340075</v>
      </c>
      <c r="BJ101" s="61">
        <f t="shared" si="77"/>
        <v>3017.4486920419272</v>
      </c>
      <c r="BK101" s="61">
        <f t="shared" si="78"/>
        <v>3214.6454612209041</v>
      </c>
      <c r="BL101" s="61">
        <f t="shared" si="79"/>
        <v>2419.4558458605702</v>
      </c>
      <c r="BM101" s="61">
        <f t="shared" si="80"/>
        <v>3440.8961493462775</v>
      </c>
      <c r="BN101" s="61">
        <f t="shared" si="81"/>
        <v>3461.5477528217962</v>
      </c>
      <c r="BO101" s="61">
        <f t="shared" si="82"/>
        <v>3219.3060433393189</v>
      </c>
      <c r="BP101" s="61">
        <f t="shared" si="83"/>
        <v>2977.9449340862584</v>
      </c>
      <c r="BQ101" s="61">
        <f t="shared" si="84"/>
        <v>2726.878955284732</v>
      </c>
      <c r="BR101" s="61">
        <f t="shared" si="85"/>
        <v>2128.9619626048056</v>
      </c>
      <c r="BS101" s="61">
        <f t="shared" si="86"/>
        <v>2128.9619626048056</v>
      </c>
      <c r="BT101" s="61">
        <f t="shared" si="87"/>
        <v>2128.9619626048056</v>
      </c>
      <c r="BU101" s="61">
        <f t="shared" si="88"/>
        <v>1759.656870076381</v>
      </c>
      <c r="BV101" s="61">
        <f t="shared" si="89"/>
        <v>1759.656870076381</v>
      </c>
      <c r="BW101" s="61">
        <f t="shared" si="74"/>
        <v>1270.0526506691874</v>
      </c>
      <c r="BX101" s="61"/>
      <c r="BY101" s="61">
        <f>($C$6+$D$6+$E$6)*Table53[[#This Row],[Locality''s Allocation Percentage ]]</f>
        <v>67444.594050010943</v>
      </c>
      <c r="BZ101" s="61">
        <f>$L$6*Table53[[#This Row],[Locality''s Allocation Percentage ]]</f>
        <v>24404.993888737201</v>
      </c>
      <c r="CA101" s="61">
        <f t="shared" si="71"/>
        <v>6101.2484721843002</v>
      </c>
      <c r="CB101" s="76">
        <f>($C$7+$D$7+$E$7)*Table53[[#This Row],[Locality''s Allocation Percentage ]]</f>
        <v>24323.143302388613</v>
      </c>
      <c r="CC101" s="76">
        <f>$L$7*Table53[[#This Row],[Locality''s Allocation Percentage ]]</f>
        <v>28250.035969379722</v>
      </c>
      <c r="CD101" s="76">
        <f t="shared" si="72"/>
        <v>7062.5089923449304</v>
      </c>
    </row>
    <row r="102" spans="13:82" s="19" customFormat="1" ht="18" customHeight="1" x14ac:dyDescent="0.25">
      <c r="M102" s="35"/>
      <c r="P102" s="36" t="s">
        <v>292</v>
      </c>
      <c r="Q102" s="37">
        <v>1.9000190001899999E-3</v>
      </c>
      <c r="S102" s="22" t="s">
        <v>167</v>
      </c>
      <c r="T102" s="61">
        <f>($C$5+$D$5+$E$5+$F$5+$G$5+$H$5+$I$5+$J$5+$K$5)*Table53[[#This Row],[Locality''s Allocation Percentage ]]</f>
        <v>7726.0647113005871</v>
      </c>
      <c r="U102" s="61">
        <f>($C$6+$D$6+$E$6+$F$6+$G$6+$H$6+$I$6+$J$6+$K$6)*Table53[[#This Row],[Locality''s Allocation Percentage ]]</f>
        <v>48910.201791992666</v>
      </c>
      <c r="V102" s="61">
        <f>($C$7+$D$7+$E$7+$F$7+$G$7+$H$7+$I$7+$J$7+$K$7)*Table53[[#This Row],[Locality''s Allocation Percentage ]]</f>
        <v>60318.793943832163</v>
      </c>
      <c r="W102" s="61">
        <f>($C$8+$D$8+$E$8+$F$8+$G$8+$H$8+$I$8+$J$8+$K$8)*Table53[[#This Row],[Locality''s Allocation Percentage ]]</f>
        <v>23132.123943646955</v>
      </c>
      <c r="X102" s="61">
        <f>($C$9+$D$9+$E$9+$F$9+$G$9+$H$9+$I$9+$J$9+$K$9)*Table53[[#This Row],[Locality''s Allocation Percentage ]]</f>
        <v>24856.962058676087</v>
      </c>
      <c r="Y102" s="61">
        <f>($C$10+$D$10+$E$10+$F$10+$G$10+$H$10+$I$10+$J$10+$K$10)*Table53[[#This Row],[Locality''s Allocation Percentage ]]</f>
        <v>26417.019774595818</v>
      </c>
      <c r="Z102" s="61">
        <f>($C$11+$D$11+$E$11+$F$11+$G$11+$H$11+$I$11+$J$11+$K$11)*Table53[[#This Row],[Locality''s Allocation Percentage ]]</f>
        <v>20126.13732136348</v>
      </c>
      <c r="AA102" s="61">
        <f>($C$12+$D$12+$E$12+$F$12+$G$12+$H$12+$I$12+$J$12+$K$12)*Table53[[#This Row],[Locality''s Allocation Percentage ]]</f>
        <v>28206.928063720912</v>
      </c>
      <c r="AB102" s="61">
        <f>($C$13+$D$13+$E$13+$F$13+$G$13+$H$13+$I$13+$J$13+$K$13)*Table53[[#This Row],[Locality''s Allocation Percentage ]]</f>
        <v>28335.26776717521</v>
      </c>
      <c r="AC102" s="61">
        <f>($C$14+$D$14+$E$14+$F$14+$G$14+$H$14+$I$14+$J$14+$K$14)*Table53[[#This Row],[Locality''s Allocation Percentage ]]</f>
        <v>26530.110603896526</v>
      </c>
      <c r="AD102" s="61">
        <f>($C$15+$D$15+$E$15+$F$15+$G$15+$H$15+$I$15+$J$15+$K$15)*Table53[[#This Row],[Locality''s Allocation Percentage ]]</f>
        <v>24620.105081220874</v>
      </c>
      <c r="AE102" s="61">
        <f>($C$16+$D$16+$E$16+$F$16+$G$16+$H$16+$I$16+$J$16+$K$16)*Table53[[#This Row],[Locality''s Allocation Percentage ]]</f>
        <v>22633.878739557167</v>
      </c>
      <c r="AF102" s="61">
        <f>($C$17+$D$17+$E$17+$F$17+$G$17+$H$17+$I$17+$J$17+$K$17)*Table53[[#This Row],[Locality''s Allocation Percentage ]]</f>
        <v>17272.957472780869</v>
      </c>
      <c r="AG102" s="61">
        <f>($C$18+$D$18+$E$18+$F$18+$G$18+$H$18+$I$18+$J$18+$K$18)*Table53[[#This Row],[Locality''s Allocation Percentage ]]</f>
        <v>17272.957472780869</v>
      </c>
      <c r="AH102" s="61">
        <f>($C$19+$D$19+$E$19+$F$19+$G$19+$H$19+$I$19+$J$19+$K$19)*Table53[[#This Row],[Locality''s Allocation Percentage ]]</f>
        <v>17272.957472780869</v>
      </c>
      <c r="AI102" s="61">
        <f>($C$20+$D$20+$E$20+$F$20+$G$20+$H$20+$I$20+$J$20+$K$20)*Table53[[#This Row],[Locality''s Allocation Percentage ]]</f>
        <v>14351.321071098673</v>
      </c>
      <c r="AJ102" s="61">
        <f>($C$21+$D$21+$E$21+$F$21+$G$21+$H$21+$I$21+$J$21+$K$21)*Table53[[#This Row],[Locality''s Allocation Percentage ]]</f>
        <v>14351.321071098673</v>
      </c>
      <c r="AK102" s="61">
        <f>($C$22+$D$22+$E$22+$F$22+$G$22+$H$22+$I$22+$J$22+$K$22)*Table53[[#This Row],[Locality''s Allocation Percentage ]]</f>
        <v>10047.605980311408</v>
      </c>
      <c r="AL102" s="61"/>
      <c r="AM102" s="61"/>
      <c r="AN102" s="61">
        <f>$L$6*Table53[[#This Row],[Locality''s Allocation Percentage ]]</f>
        <v>17698.278010916289</v>
      </c>
      <c r="AO102" s="61">
        <f>$L$7*Table53[[#This Row],[Locality''s Allocation Percentage ]]</f>
        <v>20486.667306038729</v>
      </c>
      <c r="AP102" s="61">
        <f>$L$8*Table53[[#This Row],[Locality''s Allocation Percentage ]]</f>
        <v>7977.7988077475029</v>
      </c>
      <c r="AQ102" s="61">
        <f>$L$9*Table53[[#This Row],[Locality''s Allocation Percentage ]]</f>
        <v>8752.9046028697121</v>
      </c>
      <c r="AR102" s="61">
        <f>$L$10*Table53[[#This Row],[Locality''s Allocation Percentage ]]</f>
        <v>9324.9257653736149</v>
      </c>
      <c r="AS102" s="61">
        <f>$L$11*Table53[[#This Row],[Locality''s Allocation Percentage ]]</f>
        <v>7018.2688658550887</v>
      </c>
      <c r="AT102" s="61">
        <f>$L$12*Table53[[#This Row],[Locality''s Allocation Percentage ]]</f>
        <v>9981.2254713861494</v>
      </c>
      <c r="AU102" s="61">
        <f>$L$13*Table53[[#This Row],[Locality''s Allocation Percentage ]]</f>
        <v>10041.130886047958</v>
      </c>
      <c r="AV102" s="61">
        <f>$L$14*Table53[[#This Row],[Locality''s Allocation Percentage ]]</f>
        <v>9338.4450112132909</v>
      </c>
      <c r="AW102" s="61">
        <f>$L$15*Table53[[#This Row],[Locality''s Allocation Percentage ]]</f>
        <v>8638.3135492578494</v>
      </c>
      <c r="AX102" s="61">
        <f>$L$16*Table53[[#This Row],[Locality''s Allocation Percentage ]]</f>
        <v>7910.0305573144897</v>
      </c>
      <c r="AY102" s="61">
        <f>$L$17*Table53[[#This Row],[Locality''s Allocation Percentage ]]</f>
        <v>6175.6148533574524</v>
      </c>
      <c r="AZ102" s="61">
        <f>$L$18*Table53[[#This Row],[Locality''s Allocation Percentage ]]</f>
        <v>6175.6148533574524</v>
      </c>
      <c r="BA102" s="61">
        <f>$L$19*Table53[[#This Row],[Locality''s Allocation Percentage ]]</f>
        <v>6175.6148533574524</v>
      </c>
      <c r="BB102" s="61">
        <f>$L$20*Table53[[#This Row],[Locality''s Allocation Percentage ]]</f>
        <v>5104.348172740647</v>
      </c>
      <c r="BC102" s="61">
        <f>$L$21*Table53[[#This Row],[Locality''s Allocation Percentage ]]</f>
        <v>5104.348172740647</v>
      </c>
      <c r="BD102" s="61">
        <f>$L$22*Table53[[#This Row],[Locality''s Allocation Percentage ]]</f>
        <v>3684.1221927808488</v>
      </c>
      <c r="BE102" s="61"/>
      <c r="BF102" s="61">
        <f t="shared" si="70"/>
        <v>0</v>
      </c>
      <c r="BG102" s="61">
        <f t="shared" si="70"/>
        <v>4424.5695027290722</v>
      </c>
      <c r="BH102" s="61">
        <f t="shared" si="75"/>
        <v>5121.6668265096823</v>
      </c>
      <c r="BI102" s="61">
        <f t="shared" si="76"/>
        <v>1994.4497019368757</v>
      </c>
      <c r="BJ102" s="61">
        <f t="shared" si="77"/>
        <v>2188.226150717428</v>
      </c>
      <c r="BK102" s="61">
        <f t="shared" si="78"/>
        <v>2331.2314413434037</v>
      </c>
      <c r="BL102" s="61">
        <f t="shared" si="79"/>
        <v>1754.5672164637722</v>
      </c>
      <c r="BM102" s="61">
        <f t="shared" si="80"/>
        <v>2495.3063678465373</v>
      </c>
      <c r="BN102" s="61">
        <f t="shared" si="81"/>
        <v>2510.2827215119896</v>
      </c>
      <c r="BO102" s="61">
        <f t="shared" si="82"/>
        <v>2334.6112528033227</v>
      </c>
      <c r="BP102" s="61">
        <f t="shared" si="83"/>
        <v>2159.5783873144624</v>
      </c>
      <c r="BQ102" s="61">
        <f t="shared" si="84"/>
        <v>1977.5076393286224</v>
      </c>
      <c r="BR102" s="61">
        <f t="shared" si="85"/>
        <v>1543.9037133393631</v>
      </c>
      <c r="BS102" s="61">
        <f t="shared" si="86"/>
        <v>1543.9037133393631</v>
      </c>
      <c r="BT102" s="61">
        <f t="shared" si="87"/>
        <v>1543.9037133393631</v>
      </c>
      <c r="BU102" s="61">
        <f t="shared" si="88"/>
        <v>1276.0870431851617</v>
      </c>
      <c r="BV102" s="61">
        <f t="shared" si="89"/>
        <v>1276.0870431851617</v>
      </c>
      <c r="BW102" s="61">
        <f t="shared" si="74"/>
        <v>921.03054819521219</v>
      </c>
      <c r="BX102" s="61"/>
      <c r="BY102" s="61">
        <f>($C$6+$D$6+$E$6)*Table53[[#This Row],[Locality''s Allocation Percentage ]]</f>
        <v>48910.201791992666</v>
      </c>
      <c r="BZ102" s="61">
        <f>$L$6*Table53[[#This Row],[Locality''s Allocation Percentage ]]</f>
        <v>17698.278010916289</v>
      </c>
      <c r="CA102" s="61">
        <f t="shared" si="71"/>
        <v>4424.5695027290722</v>
      </c>
      <c r="CB102" s="76">
        <f>($C$7+$D$7+$E$7)*Table53[[#This Row],[Locality''s Allocation Percentage ]]</f>
        <v>17638.920715472657</v>
      </c>
      <c r="CC102" s="76">
        <f>$L$7*Table53[[#This Row],[Locality''s Allocation Percentage ]]</f>
        <v>20486.667306038729</v>
      </c>
      <c r="CD102" s="76">
        <f t="shared" si="72"/>
        <v>5121.6668265096823</v>
      </c>
    </row>
    <row r="103" spans="13:82" s="19" customFormat="1" ht="18" customHeight="1" x14ac:dyDescent="0.25">
      <c r="M103" s="35"/>
      <c r="P103" s="36" t="s">
        <v>293</v>
      </c>
      <c r="Q103" s="37">
        <v>3.510035100351E-3</v>
      </c>
      <c r="S103" s="22" t="s">
        <v>168</v>
      </c>
      <c r="T103" s="61">
        <f>($C$5+$D$5+$E$5+$F$5+$G$5+$H$5+$I$5+$J$5+$K$5)*Table53[[#This Row],[Locality''s Allocation Percentage ]]</f>
        <v>14272.887966665821</v>
      </c>
      <c r="U103" s="61">
        <f>($C$6+$D$6+$E$6+$F$6+$G$6+$H$6+$I$6+$J$6+$K$6)*Table53[[#This Row],[Locality''s Allocation Percentage ]]</f>
        <v>90355.162257839082</v>
      </c>
      <c r="V103" s="61">
        <f>($C$7+$D$7+$E$7+$F$7+$G$7+$H$7+$I$7+$J$7+$K$7)*Table53[[#This Row],[Locality''s Allocation Percentage ]]</f>
        <v>111431.03512781626</v>
      </c>
      <c r="W103" s="61">
        <f>($C$8+$D$8+$E$8+$F$8+$G$8+$H$8+$I$8+$J$8+$K$8)*Table53[[#This Row],[Locality''s Allocation Percentage ]]</f>
        <v>42733.55528536885</v>
      </c>
      <c r="X103" s="61">
        <f>($C$9+$D$9+$E$9+$F$9+$G$9+$H$9+$I$9+$J$9+$K$9)*Table53[[#This Row],[Locality''s Allocation Percentage ]]</f>
        <v>45919.966750501611</v>
      </c>
      <c r="Y103" s="61">
        <f>($C$10+$D$10+$E$10+$F$10+$G$10+$H$10+$I$10+$J$10+$K$10)*Table53[[#This Row],[Locality''s Allocation Percentage ]]</f>
        <v>48801.968109911228</v>
      </c>
      <c r="Z103" s="61">
        <f>($C$11+$D$11+$E$11+$F$11+$G$11+$H$11+$I$11+$J$11+$K$11)*Table53[[#This Row],[Locality''s Allocation Percentage ]]</f>
        <v>37180.390525255694</v>
      </c>
      <c r="AA103" s="61">
        <f>($C$12+$D$12+$E$12+$F$12+$G$12+$H$12+$I$12+$J$12+$K$12)*Table53[[#This Row],[Locality''s Allocation Percentage ]]</f>
        <v>52108.588159821265</v>
      </c>
      <c r="AB103" s="61">
        <f>($C$13+$D$13+$E$13+$F$13+$G$13+$H$13+$I$13+$J$13+$K$13)*Table53[[#This Row],[Locality''s Allocation Percentage ]]</f>
        <v>52345.678875149999</v>
      </c>
      <c r="AC103" s="61">
        <f>($C$14+$D$14+$E$14+$F$14+$G$14+$H$14+$I$14+$J$14+$K$14)*Table53[[#This Row],[Locality''s Allocation Percentage ]]</f>
        <v>49010.888536672006</v>
      </c>
      <c r="AD103" s="61">
        <f>($C$15+$D$15+$E$15+$F$15+$G$15+$H$15+$I$15+$J$15+$K$15)*Table53[[#This Row],[Locality''s Allocation Percentage ]]</f>
        <v>45482.404650044882</v>
      </c>
      <c r="AE103" s="61">
        <f>($C$16+$D$16+$E$16+$F$16+$G$16+$H$16+$I$16+$J$16+$K$16)*Table53[[#This Row],[Locality''s Allocation Percentage ]]</f>
        <v>41813.112829392456</v>
      </c>
      <c r="AF103" s="61">
        <f>($C$17+$D$17+$E$17+$F$17+$G$17+$H$17+$I$17+$J$17+$K$17)*Table53[[#This Row],[Locality''s Allocation Percentage ]]</f>
        <v>31909.516173400447</v>
      </c>
      <c r="AG103" s="61">
        <f>($C$18+$D$18+$E$18+$F$18+$G$18+$H$18+$I$18+$J$18+$K$18)*Table53[[#This Row],[Locality''s Allocation Percentage ]]</f>
        <v>31909.516173400447</v>
      </c>
      <c r="AH103" s="61">
        <f>($C$19+$D$19+$E$19+$F$19+$G$19+$H$19+$I$19+$J$19+$K$19)*Table53[[#This Row],[Locality''s Allocation Percentage ]]</f>
        <v>31909.516173400447</v>
      </c>
      <c r="AI103" s="61">
        <f>($C$20+$D$20+$E$20+$F$20+$G$20+$H$20+$I$20+$J$20+$K$20)*Table53[[#This Row],[Locality''s Allocation Percentage ]]</f>
        <v>26512.177347134919</v>
      </c>
      <c r="AJ103" s="61">
        <f>($C$21+$D$21+$E$21+$F$21+$G$21+$H$21+$I$21+$J$21+$K$21)*Table53[[#This Row],[Locality''s Allocation Percentage ]]</f>
        <v>26512.177347134919</v>
      </c>
      <c r="AK103" s="61">
        <f>($C$22+$D$22+$E$22+$F$22+$G$22+$H$22+$I$22+$J$22+$K$22)*Table53[[#This Row],[Locality''s Allocation Percentage ]]</f>
        <v>18561.629995206862</v>
      </c>
      <c r="AL103" s="61"/>
      <c r="AM103" s="61"/>
      <c r="AN103" s="61">
        <f>$L$6*Table53[[#This Row],[Locality''s Allocation Percentage ]]</f>
        <v>32695.239904376936</v>
      </c>
      <c r="AO103" s="61">
        <f>$L$7*Table53[[#This Row],[Locality''s Allocation Percentage ]]</f>
        <v>37846.422233787336</v>
      </c>
      <c r="AP103" s="61">
        <f>$L$8*Table53[[#This Row],[Locality''s Allocation Percentage ]]</f>
        <v>14737.933586944071</v>
      </c>
      <c r="AQ103" s="61">
        <f>$L$9*Table53[[#This Row],[Locality''s Allocation Percentage ]]</f>
        <v>16169.839555827732</v>
      </c>
      <c r="AR103" s="61">
        <f>$L$10*Table53[[#This Row],[Locality''s Allocation Percentage ]]</f>
        <v>17226.573387611257</v>
      </c>
      <c r="AS103" s="61">
        <f>$L$11*Table53[[#This Row],[Locality''s Allocation Percentage ]]</f>
        <v>12965.328273237559</v>
      </c>
      <c r="AT103" s="61">
        <f>$L$12*Table53[[#This Row],[Locality''s Allocation Percentage ]]</f>
        <v>18439.000739244941</v>
      </c>
      <c r="AU103" s="61">
        <f>$L$13*Table53[[#This Row],[Locality''s Allocation Percentage ]]</f>
        <v>18549.668110541228</v>
      </c>
      <c r="AV103" s="61">
        <f>$L$14*Table53[[#This Row],[Locality''s Allocation Percentage ]]</f>
        <v>17251.548415451922</v>
      </c>
      <c r="AW103" s="61">
        <f>$L$15*Table53[[#This Row],[Locality''s Allocation Percentage ]]</f>
        <v>15958.147662050027</v>
      </c>
      <c r="AX103" s="61">
        <f>$L$16*Table53[[#This Row],[Locality''s Allocation Percentage ]]</f>
        <v>14612.740661144137</v>
      </c>
      <c r="AY103" s="61">
        <f>$L$17*Table53[[#This Row],[Locality''s Allocation Percentage ]]</f>
        <v>11408.635860676135</v>
      </c>
      <c r="AZ103" s="61">
        <f>$L$18*Table53[[#This Row],[Locality''s Allocation Percentage ]]</f>
        <v>11408.635860676135</v>
      </c>
      <c r="BA103" s="61">
        <f>$L$19*Table53[[#This Row],[Locality''s Allocation Percentage ]]</f>
        <v>11408.635860676135</v>
      </c>
      <c r="BB103" s="61">
        <f>$L$20*Table53[[#This Row],[Locality''s Allocation Percentage ]]</f>
        <v>9429.6116243787746</v>
      </c>
      <c r="BC103" s="61">
        <f>$L$21*Table53[[#This Row],[Locality''s Allocation Percentage ]]</f>
        <v>9429.6116243787746</v>
      </c>
      <c r="BD103" s="61">
        <f>$L$22*Table53[[#This Row],[Locality''s Allocation Percentage ]]</f>
        <v>6805.9309982425157</v>
      </c>
      <c r="BE103" s="61"/>
      <c r="BF103" s="61">
        <f t="shared" si="70"/>
        <v>0</v>
      </c>
      <c r="BG103" s="61">
        <f t="shared" si="70"/>
        <v>8173.8099760942341</v>
      </c>
      <c r="BH103" s="61">
        <f t="shared" si="75"/>
        <v>9461.605558446834</v>
      </c>
      <c r="BI103" s="61">
        <f t="shared" si="76"/>
        <v>3684.4833967360178</v>
      </c>
      <c r="BJ103" s="61">
        <f t="shared" si="77"/>
        <v>4042.4598889569329</v>
      </c>
      <c r="BK103" s="61">
        <f t="shared" si="78"/>
        <v>4306.6433469028143</v>
      </c>
      <c r="BL103" s="61">
        <f t="shared" si="79"/>
        <v>3241.3320683093898</v>
      </c>
      <c r="BM103" s="61">
        <f t="shared" si="80"/>
        <v>4609.7501848112352</v>
      </c>
      <c r="BN103" s="61">
        <f t="shared" si="81"/>
        <v>4637.417027635307</v>
      </c>
      <c r="BO103" s="61">
        <f t="shared" si="82"/>
        <v>4312.8871038629804</v>
      </c>
      <c r="BP103" s="61">
        <f t="shared" si="83"/>
        <v>3989.5369155125068</v>
      </c>
      <c r="BQ103" s="61">
        <f t="shared" si="84"/>
        <v>3653.1851652860341</v>
      </c>
      <c r="BR103" s="61">
        <f t="shared" si="85"/>
        <v>2852.1589651690338</v>
      </c>
      <c r="BS103" s="61">
        <f t="shared" si="86"/>
        <v>2852.1589651690338</v>
      </c>
      <c r="BT103" s="61">
        <f t="shared" si="87"/>
        <v>2852.1589651690338</v>
      </c>
      <c r="BU103" s="61">
        <f t="shared" si="88"/>
        <v>2357.4029060946937</v>
      </c>
      <c r="BV103" s="61">
        <f t="shared" si="89"/>
        <v>2357.4029060946937</v>
      </c>
      <c r="BW103" s="61">
        <f t="shared" si="74"/>
        <v>1701.4827495606289</v>
      </c>
      <c r="BX103" s="61"/>
      <c r="BY103" s="61">
        <f>($C$6+$D$6+$E$6)*Table53[[#This Row],[Locality''s Allocation Percentage ]]</f>
        <v>90355.162257839082</v>
      </c>
      <c r="BZ103" s="61">
        <f>$L$6*Table53[[#This Row],[Locality''s Allocation Percentage ]]</f>
        <v>32695.239904376936</v>
      </c>
      <c r="CA103" s="61">
        <f t="shared" si="71"/>
        <v>8173.8099760942341</v>
      </c>
      <c r="CB103" s="76">
        <f>($C$7+$D$7+$E$7)*Table53[[#This Row],[Locality''s Allocation Percentage ]]</f>
        <v>32585.585111215281</v>
      </c>
      <c r="CC103" s="76">
        <f>$L$7*Table53[[#This Row],[Locality''s Allocation Percentage ]]</f>
        <v>37846.422233787336</v>
      </c>
      <c r="CD103" s="76">
        <f t="shared" si="72"/>
        <v>9461.605558446834</v>
      </c>
    </row>
    <row r="104" spans="13:82" s="19" customFormat="1" ht="18" customHeight="1" x14ac:dyDescent="0.25">
      <c r="M104" s="35"/>
      <c r="P104" s="36" t="s">
        <v>294</v>
      </c>
      <c r="Q104" s="37">
        <v>3.5560355603555999E-2</v>
      </c>
      <c r="S104" s="22" t="s">
        <v>169</v>
      </c>
      <c r="T104" s="61">
        <f>($C$5+$D$5+$E$5+$F$5+$G$5+$H$5+$I$5+$J$5+$K$5)*Table53[[#This Row],[Locality''s Allocation Percentage ]]</f>
        <v>144599.40059676257</v>
      </c>
      <c r="U104" s="61">
        <f>($C$6+$D$6+$E$6+$F$6+$G$6+$H$6+$I$6+$J$6+$K$6)*Table53[[#This Row],[Locality''s Allocation Percentage ]]</f>
        <v>915393.03985434701</v>
      </c>
      <c r="V104" s="61">
        <f>($C$7+$D$7+$E$7+$F$7+$G$7+$H$7+$I$7+$J$7+$K$7)*Table53[[#This Row],[Locality''s Allocation Percentage ]]</f>
        <v>1128913.8487593008</v>
      </c>
      <c r="W104" s="61">
        <f>($C$8+$D$8+$E$8+$F$8+$G$8+$H$8+$I$8+$J$8+$K$8)*Table53[[#This Row],[Locality''s Allocation Percentage ]]</f>
        <v>432935.96180846618</v>
      </c>
      <c r="X104" s="61">
        <f>($C$9+$D$9+$E$9+$F$9+$G$9+$H$9+$I$9+$J$9+$K$9)*Table53[[#This Row],[Locality''s Allocation Percentage ]]</f>
        <v>465217.6688455377</v>
      </c>
      <c r="Y104" s="61">
        <f>($C$10+$D$10+$E$10+$F$10+$G$10+$H$10+$I$10+$J$10+$K$10)*Table53[[#This Row],[Locality''s Allocation Percentage ]]</f>
        <v>494415.38062348805</v>
      </c>
      <c r="Z104" s="61">
        <f>($C$11+$D$11+$E$11+$F$11+$G$11+$H$11+$I$11+$J$11+$K$11)*Table53[[#This Row],[Locality''s Allocation Percentage ]]</f>
        <v>376676.54902509751</v>
      </c>
      <c r="AA104" s="61">
        <f>($C$12+$D$12+$E$12+$F$12+$G$12+$H$12+$I$12+$J$12+$K$12)*Table53[[#This Row],[Locality''s Allocation Percentage ]]</f>
        <v>527914.92733995558</v>
      </c>
      <c r="AB104" s="61">
        <f>($C$13+$D$13+$E$13+$F$13+$G$13+$H$13+$I$13+$J$13+$K$13)*Table53[[#This Row],[Locality''s Allocation Percentage ]]</f>
        <v>530316.90621092136</v>
      </c>
      <c r="AC104" s="61">
        <f>($C$14+$D$14+$E$14+$F$14+$G$14+$H$14+$I$14+$J$14+$K$14)*Table53[[#This Row],[Locality''s Allocation Percentage ]]</f>
        <v>496531.96477608447</v>
      </c>
      <c r="AD104" s="61">
        <f>($C$15+$D$15+$E$15+$F$15+$G$15+$H$15+$I$15+$J$15+$K$15)*Table53[[#This Row],[Locality''s Allocation Percentage ]]</f>
        <v>460784.70352011279</v>
      </c>
      <c r="AE104" s="61">
        <f>($C$16+$D$16+$E$16+$F$16+$G$16+$H$16+$I$16+$J$16+$K$16)*Table53[[#This Row],[Locality''s Allocation Percentage ]]</f>
        <v>423610.90946244891</v>
      </c>
      <c r="AF104" s="61">
        <f>($C$17+$D$17+$E$17+$F$17+$G$17+$H$17+$I$17+$J$17+$K$17)*Table53[[#This Row],[Locality''s Allocation Percentage ]]</f>
        <v>323277.03564846719</v>
      </c>
      <c r="AG104" s="61">
        <f>($C$18+$D$18+$E$18+$F$18+$G$18+$H$18+$I$18+$J$18+$K$18)*Table53[[#This Row],[Locality''s Allocation Percentage ]]</f>
        <v>323277.03564846719</v>
      </c>
      <c r="AH104" s="61">
        <f>($C$19+$D$19+$E$19+$F$19+$G$19+$H$19+$I$19+$J$19+$K$19)*Table53[[#This Row],[Locality''s Allocation Percentage ]]</f>
        <v>323277.03564846719</v>
      </c>
      <c r="AI104" s="61">
        <f>($C$20+$D$20+$E$20+$F$20+$G$20+$H$20+$I$20+$J$20+$K$20)*Table53[[#This Row],[Locality''s Allocation Percentage ]]</f>
        <v>268596.30383593094</v>
      </c>
      <c r="AJ104" s="61">
        <f>($C$21+$D$21+$E$21+$F$21+$G$21+$H$21+$I$21+$J$21+$K$21)*Table53[[#This Row],[Locality''s Allocation Percentage ]]</f>
        <v>268596.30383593094</v>
      </c>
      <c r="AK104" s="61">
        <f>($C$22+$D$22+$E$22+$F$22+$G$22+$H$22+$I$22+$J$22+$K$22)*Table53[[#This Row],[Locality''s Allocation Percentage ]]</f>
        <v>188048.87824203874</v>
      </c>
      <c r="AL104" s="61"/>
      <c r="AM104" s="61"/>
      <c r="AN104" s="61">
        <f>$L$6*Table53[[#This Row],[Locality''s Allocation Percentage ]]</f>
        <v>331237.24529904383</v>
      </c>
      <c r="AO104" s="61">
        <f>$L$7*Table53[[#This Row],[Locality''s Allocation Percentage ]]</f>
        <v>383424.15231723012</v>
      </c>
      <c r="AP104" s="61">
        <f>$L$8*Table53[[#This Row],[Locality''s Allocation Percentage ]]</f>
        <v>149310.80294921115</v>
      </c>
      <c r="AQ104" s="61">
        <f>$L$9*Table53[[#This Row],[Locality''s Allocation Percentage ]]</f>
        <v>163817.51983055103</v>
      </c>
      <c r="AR104" s="61">
        <f>$L$10*Table53[[#This Row],[Locality''s Allocation Percentage ]]</f>
        <v>174523.34748246617</v>
      </c>
      <c r="AS104" s="61">
        <f>$L$11*Table53[[#This Row],[Locality''s Allocation Percentage ]]</f>
        <v>131352.44256305631</v>
      </c>
      <c r="AT104" s="61">
        <f>$L$12*Table53[[#This Row],[Locality''s Allocation Percentage ]]</f>
        <v>186806.51461183763</v>
      </c>
      <c r="AU104" s="61">
        <f>$L$13*Table53[[#This Row],[Locality''s Allocation Percentage ]]</f>
        <v>187927.6917409818</v>
      </c>
      <c r="AV104" s="61">
        <f>$L$14*Table53[[#This Row],[Locality''s Allocation Percentage ]]</f>
        <v>174776.37084144456</v>
      </c>
      <c r="AW104" s="61">
        <f>$L$15*Table53[[#This Row],[Locality''s Allocation Percentage ]]</f>
        <v>161672.85779558375</v>
      </c>
      <c r="AX104" s="61">
        <f>$L$16*Table53[[#This Row],[Locality''s Allocation Percentage ]]</f>
        <v>148042.46664110699</v>
      </c>
      <c r="AY104" s="61">
        <f>$L$17*Table53[[#This Row],[Locality''s Allocation Percentage ]]</f>
        <v>115581.50746599527</v>
      </c>
      <c r="AZ104" s="61">
        <f>$L$18*Table53[[#This Row],[Locality''s Allocation Percentage ]]</f>
        <v>115581.50746599527</v>
      </c>
      <c r="BA104" s="61">
        <f>$L$19*Table53[[#This Row],[Locality''s Allocation Percentage ]]</f>
        <v>115581.50746599527</v>
      </c>
      <c r="BB104" s="61">
        <f>$L$20*Table53[[#This Row],[Locality''s Allocation Percentage ]]</f>
        <v>95531.905801398651</v>
      </c>
      <c r="BC104" s="61">
        <f>$L$21*Table53[[#This Row],[Locality''s Allocation Percentage ]]</f>
        <v>95531.905801398651</v>
      </c>
      <c r="BD104" s="61">
        <f>$L$22*Table53[[#This Row],[Locality''s Allocation Percentage ]]</f>
        <v>68951.255355414207</v>
      </c>
      <c r="BE104" s="61"/>
      <c r="BF104" s="61">
        <f t="shared" si="70"/>
        <v>0</v>
      </c>
      <c r="BG104" s="61">
        <f t="shared" si="70"/>
        <v>82809.311324760958</v>
      </c>
      <c r="BH104" s="61">
        <f t="shared" si="75"/>
        <v>95856.038079307531</v>
      </c>
      <c r="BI104" s="61">
        <f t="shared" si="76"/>
        <v>37327.700737302788</v>
      </c>
      <c r="BJ104" s="61">
        <f t="shared" si="77"/>
        <v>40954.379957637757</v>
      </c>
      <c r="BK104" s="61">
        <f t="shared" si="78"/>
        <v>43630.836870616542</v>
      </c>
      <c r="BL104" s="61">
        <f t="shared" si="79"/>
        <v>32838.110640764076</v>
      </c>
      <c r="BM104" s="61">
        <f t="shared" si="80"/>
        <v>46701.628652959407</v>
      </c>
      <c r="BN104" s="61">
        <f t="shared" si="81"/>
        <v>46981.922935245449</v>
      </c>
      <c r="BO104" s="61">
        <f t="shared" si="82"/>
        <v>43694.092710361139</v>
      </c>
      <c r="BP104" s="61">
        <f t="shared" si="83"/>
        <v>40418.214448895938</v>
      </c>
      <c r="BQ104" s="61">
        <f t="shared" si="84"/>
        <v>37010.616660276748</v>
      </c>
      <c r="BR104" s="61">
        <f t="shared" si="85"/>
        <v>28895.376866498817</v>
      </c>
      <c r="BS104" s="61">
        <f t="shared" si="86"/>
        <v>28895.376866498817</v>
      </c>
      <c r="BT104" s="61">
        <f t="shared" si="87"/>
        <v>28895.376866498817</v>
      </c>
      <c r="BU104" s="61">
        <f t="shared" si="88"/>
        <v>23882.976450349663</v>
      </c>
      <c r="BV104" s="61">
        <f t="shared" si="89"/>
        <v>23882.976450349663</v>
      </c>
      <c r="BW104" s="61">
        <f t="shared" si="74"/>
        <v>17237.813838853552</v>
      </c>
      <c r="BX104" s="61"/>
      <c r="BY104" s="61">
        <f>($C$6+$D$6+$E$6)*Table53[[#This Row],[Locality''s Allocation Percentage ]]</f>
        <v>915393.03985434701</v>
      </c>
      <c r="BZ104" s="61">
        <f>$L$6*Table53[[#This Row],[Locality''s Allocation Percentage ]]</f>
        <v>331237.24529904383</v>
      </c>
      <c r="CA104" s="61">
        <f t="shared" si="71"/>
        <v>82809.311324760958</v>
      </c>
      <c r="CB104" s="76">
        <f>($C$7+$D$7+$E$7)*Table53[[#This Row],[Locality''s Allocation Percentage ]]</f>
        <v>330126.32665379357</v>
      </c>
      <c r="CC104" s="76">
        <f>$L$7*Table53[[#This Row],[Locality''s Allocation Percentage ]]</f>
        <v>383424.15231723012</v>
      </c>
      <c r="CD104" s="76">
        <f t="shared" si="72"/>
        <v>95856.038079307531</v>
      </c>
    </row>
    <row r="105" spans="13:82" s="19" customFormat="1" ht="18" customHeight="1" x14ac:dyDescent="0.25">
      <c r="P105" s="36" t="s">
        <v>295</v>
      </c>
      <c r="Q105" s="37">
        <v>1.0610106101060999E-2</v>
      </c>
      <c r="S105" s="22" t="s">
        <v>170</v>
      </c>
      <c r="T105" s="61">
        <f>($C$5+$D$5+$E$5+$F$5+$G$5+$H$5+$I$5+$J$5+$K$5)*Table53[[#This Row],[Locality''s Allocation Percentage ]]</f>
        <v>43143.971887841697</v>
      </c>
      <c r="U105" s="61">
        <f>($C$6+$D$6+$E$6+$F$6+$G$6+$H$6+$I$6+$J$6+$K$6)*Table53[[#This Row],[Locality''s Allocation Percentage ]]</f>
        <v>273124.86369107483</v>
      </c>
      <c r="V105" s="61">
        <f>($C$7+$D$7+$E$7+$F$7+$G$7+$H$7+$I$7+$J$7+$K$7)*Table53[[#This Row],[Locality''s Allocation Percentage ]]</f>
        <v>336832.84407582064</v>
      </c>
      <c r="W105" s="61">
        <f>($C$8+$D$8+$E$8+$F$8+$G$8+$H$8+$I$8+$J$8+$K$8)*Table53[[#This Row],[Locality''s Allocation Percentage ]]</f>
        <v>129174.65002215485</v>
      </c>
      <c r="X105" s="61">
        <f>($C$9+$D$9+$E$9+$F$9+$G$9+$H$9+$I$9+$J$9+$K$9)*Table53[[#This Row],[Locality''s Allocation Percentage ]]</f>
        <v>138806.50918029118</v>
      </c>
      <c r="Y105" s="61">
        <f>($C$10+$D$10+$E$10+$F$10+$G$10+$H$10+$I$10+$J$10+$K$10)*Table53[[#This Row],[Locality''s Allocation Percentage ]]</f>
        <v>147518.19989919034</v>
      </c>
      <c r="Z105" s="61">
        <f>($C$11+$D$11+$E$11+$F$11+$G$11+$H$11+$I$11+$J$11+$K$11)*Table53[[#This Row],[Locality''s Allocation Percentage ]]</f>
        <v>112388.58788403501</v>
      </c>
      <c r="AA105" s="61">
        <f>($C$12+$D$12+$E$12+$F$12+$G$12+$H$12+$I$12+$J$12+$K$12)*Table53[[#This Row],[Locality''s Allocation Percentage ]]</f>
        <v>157513.42460846258</v>
      </c>
      <c r="AB105" s="61">
        <f>($C$13+$D$13+$E$13+$F$13+$G$13+$H$13+$I$13+$J$13+$K$13)*Table53[[#This Row],[Locality''s Allocation Percentage ]]</f>
        <v>158230.1005314363</v>
      </c>
      <c r="AC105" s="61">
        <f>($C$14+$D$14+$E$14+$F$14+$G$14+$H$14+$I$14+$J$14+$K$14)*Table53[[#This Row],[Locality''s Allocation Percentage ]]</f>
        <v>148149.72289860112</v>
      </c>
      <c r="AD105" s="61">
        <f>($C$15+$D$15+$E$15+$F$15+$G$15+$H$15+$I$15+$J$15+$K$15)*Table53[[#This Row],[Locality''s Allocation Percentage ]]</f>
        <v>137483.84995355445</v>
      </c>
      <c r="AE105" s="61">
        <f>($C$16+$D$16+$E$16+$F$16+$G$16+$H$16+$I$16+$J$16+$K$16)*Table53[[#This Row],[Locality''s Allocation Percentage ]]</f>
        <v>126392.3439087903</v>
      </c>
      <c r="AF105" s="61">
        <f>($C$17+$D$17+$E$17+$F$17+$G$17+$H$17+$I$17+$J$17+$K$17)*Table53[[#This Row],[Locality''s Allocation Percentage ]]</f>
        <v>96455.830940107902</v>
      </c>
      <c r="AG105" s="61">
        <f>($C$18+$D$18+$E$18+$F$18+$G$18+$H$18+$I$18+$J$18+$K$18)*Table53[[#This Row],[Locality''s Allocation Percentage ]]</f>
        <v>96455.830940107902</v>
      </c>
      <c r="AH105" s="61">
        <f>($C$19+$D$19+$E$19+$F$19+$G$19+$H$19+$I$19+$J$19+$K$19)*Table53[[#This Row],[Locality''s Allocation Percentage ]]</f>
        <v>96455.830940107902</v>
      </c>
      <c r="AI105" s="61">
        <f>($C$20+$D$20+$E$20+$F$20+$G$20+$H$20+$I$20+$J$20+$K$20)*Table53[[#This Row],[Locality''s Allocation Percentage ]]</f>
        <v>80140.798191766793</v>
      </c>
      <c r="AJ105" s="61">
        <f>($C$21+$D$21+$E$21+$F$21+$G$21+$H$21+$I$21+$J$21+$K$21)*Table53[[#This Row],[Locality''s Allocation Percentage ]]</f>
        <v>80140.798191766793</v>
      </c>
      <c r="AK105" s="61">
        <f>($C$22+$D$22+$E$22+$F$22+$G$22+$H$22+$I$22+$J$22+$K$22)*Table53[[#This Row],[Locality''s Allocation Percentage ]]</f>
        <v>56107.947079528436</v>
      </c>
      <c r="AL105" s="61"/>
      <c r="AM105" s="61"/>
      <c r="AN105" s="61">
        <f>$L$6*Table53[[#This Row],[Locality''s Allocation Percentage ]]</f>
        <v>98830.910366222015</v>
      </c>
      <c r="AO105" s="61">
        <f>$L$7*Table53[[#This Row],[Locality''s Allocation Percentage ]]</f>
        <v>114401.863219511</v>
      </c>
      <c r="AP105" s="61">
        <f>$L$8*Table53[[#This Row],[Locality''s Allocation Percentage ]]</f>
        <v>44549.708079053162</v>
      </c>
      <c r="AQ105" s="61">
        <f>$L$9*Table53[[#This Row],[Locality''s Allocation Percentage ]]</f>
        <v>48878.062019182973</v>
      </c>
      <c r="AR105" s="61">
        <f>$L$10*Table53[[#This Row],[Locality''s Allocation Percentage ]]</f>
        <v>52072.348616112657</v>
      </c>
      <c r="AS105" s="61">
        <f>$L$11*Table53[[#This Row],[Locality''s Allocation Percentage ]]</f>
        <v>39191.490877222364</v>
      </c>
      <c r="AT105" s="61">
        <f>$L$12*Table53[[#This Row],[Locality''s Allocation Percentage ]]</f>
        <v>55737.26434284581</v>
      </c>
      <c r="AU105" s="61">
        <f>$L$13*Table53[[#This Row],[Locality''s Allocation Percentage ]]</f>
        <v>56071.788789983599</v>
      </c>
      <c r="AV105" s="61">
        <f>$L$14*Table53[[#This Row],[Locality''s Allocation Percentage ]]</f>
        <v>52147.842931038431</v>
      </c>
      <c r="AW105" s="61">
        <f>$L$15*Table53[[#This Row],[Locality''s Allocation Percentage ]]</f>
        <v>48238.161451381988</v>
      </c>
      <c r="AX105" s="61">
        <f>$L$16*Table53[[#This Row],[Locality''s Allocation Percentage ]]</f>
        <v>44171.275901635127</v>
      </c>
      <c r="AY105" s="61">
        <f>$L$17*Table53[[#This Row],[Locality''s Allocation Percentage ]]</f>
        <v>34485.933470590826</v>
      </c>
      <c r="AZ105" s="61">
        <f>$L$18*Table53[[#This Row],[Locality''s Allocation Percentage ]]</f>
        <v>34485.933470590826</v>
      </c>
      <c r="BA105" s="61">
        <f>$L$19*Table53[[#This Row],[Locality''s Allocation Percentage ]]</f>
        <v>34485.933470590826</v>
      </c>
      <c r="BB105" s="61">
        <f>$L$20*Table53[[#This Row],[Locality''s Allocation Percentage ]]</f>
        <v>28503.754796199089</v>
      </c>
      <c r="BC105" s="61">
        <f>$L$21*Table53[[#This Row],[Locality''s Allocation Percentage ]]</f>
        <v>28503.754796199089</v>
      </c>
      <c r="BD105" s="61">
        <f>$L$22*Table53[[#This Row],[Locality''s Allocation Percentage ]]</f>
        <v>20572.913929160426</v>
      </c>
      <c r="BE105" s="61"/>
      <c r="BF105" s="61">
        <f t="shared" si="70"/>
        <v>0</v>
      </c>
      <c r="BG105" s="61">
        <f t="shared" si="70"/>
        <v>24707.727591555504</v>
      </c>
      <c r="BH105" s="61">
        <f t="shared" si="75"/>
        <v>28600.465804877749</v>
      </c>
      <c r="BI105" s="61">
        <f t="shared" si="76"/>
        <v>11137.42701976329</v>
      </c>
      <c r="BJ105" s="61">
        <f t="shared" si="77"/>
        <v>12219.515504795743</v>
      </c>
      <c r="BK105" s="61">
        <f t="shared" si="78"/>
        <v>13018.087154028164</v>
      </c>
      <c r="BL105" s="61">
        <f t="shared" si="79"/>
        <v>9797.8727193055911</v>
      </c>
      <c r="BM105" s="61">
        <f t="shared" si="80"/>
        <v>13934.316085711453</v>
      </c>
      <c r="BN105" s="61">
        <f t="shared" si="81"/>
        <v>14017.9471974959</v>
      </c>
      <c r="BO105" s="61">
        <f t="shared" si="82"/>
        <v>13036.960732759608</v>
      </c>
      <c r="BP105" s="61">
        <f t="shared" si="83"/>
        <v>12059.540362845497</v>
      </c>
      <c r="BQ105" s="61">
        <f t="shared" si="84"/>
        <v>11042.818975408782</v>
      </c>
      <c r="BR105" s="61">
        <f t="shared" si="85"/>
        <v>8621.4833676477065</v>
      </c>
      <c r="BS105" s="61">
        <f t="shared" si="86"/>
        <v>8621.4833676477065</v>
      </c>
      <c r="BT105" s="61">
        <f t="shared" si="87"/>
        <v>8621.4833676477065</v>
      </c>
      <c r="BU105" s="61">
        <f t="shared" si="88"/>
        <v>7125.9386990497724</v>
      </c>
      <c r="BV105" s="61">
        <f t="shared" si="89"/>
        <v>7125.9386990497724</v>
      </c>
      <c r="BW105" s="61">
        <f t="shared" si="74"/>
        <v>5143.2284822901065</v>
      </c>
      <c r="BX105" s="61"/>
      <c r="BY105" s="61">
        <f>($C$6+$D$6+$E$6)*Table53[[#This Row],[Locality''s Allocation Percentage ]]</f>
        <v>273124.86369107483</v>
      </c>
      <c r="BZ105" s="61">
        <f>$L$6*Table53[[#This Row],[Locality''s Allocation Percentage ]]</f>
        <v>98830.910366222015</v>
      </c>
      <c r="CA105" s="61">
        <f t="shared" si="71"/>
        <v>24707.727591555504</v>
      </c>
      <c r="CB105" s="76">
        <f>($C$7+$D$7+$E$7)*Table53[[#This Row],[Locality''s Allocation Percentage ]]</f>
        <v>98499.446732192053</v>
      </c>
      <c r="CC105" s="76">
        <f>$L$7*Table53[[#This Row],[Locality''s Allocation Percentage ]]</f>
        <v>114401.863219511</v>
      </c>
      <c r="CD105" s="76">
        <f t="shared" si="72"/>
        <v>28600.465804877749</v>
      </c>
    </row>
    <row r="106" spans="13:82" s="19" customFormat="1" ht="18" customHeight="1" x14ac:dyDescent="0.25">
      <c r="P106" s="36" t="s">
        <v>171</v>
      </c>
      <c r="Q106" s="37">
        <v>2.4700247002470001E-3</v>
      </c>
      <c r="S106" s="22" t="s">
        <v>171</v>
      </c>
      <c r="T106" s="61">
        <f>($C$5+$D$5+$E$5+$F$5+$G$5+$H$5+$I$5+$J$5+$K$5)*Table53[[#This Row],[Locality''s Allocation Percentage ]]</f>
        <v>10043.884124690763</v>
      </c>
      <c r="U106" s="61">
        <f>($C$6+$D$6+$E$6+$F$6+$G$6+$H$6+$I$6+$J$6+$K$6)*Table53[[#This Row],[Locality''s Allocation Percentage ]]</f>
        <v>63583.26232959047</v>
      </c>
      <c r="V106" s="61">
        <f>($C$7+$D$7+$E$7+$F$7+$G$7+$H$7+$I$7+$J$7+$K$7)*Table53[[#This Row],[Locality''s Allocation Percentage ]]</f>
        <v>78414.432126981817</v>
      </c>
      <c r="W106" s="61">
        <f>($C$8+$D$8+$E$8+$F$8+$G$8+$H$8+$I$8+$J$8+$K$8)*Table53[[#This Row],[Locality''s Allocation Percentage ]]</f>
        <v>30071.761126741047</v>
      </c>
      <c r="X106" s="61">
        <f>($C$9+$D$9+$E$9+$F$9+$G$9+$H$9+$I$9+$J$9+$K$9)*Table53[[#This Row],[Locality''s Allocation Percentage ]]</f>
        <v>32314.050676278912</v>
      </c>
      <c r="Y106" s="61">
        <f>($C$10+$D$10+$E$10+$F$10+$G$10+$H$10+$I$10+$J$10+$K$10)*Table53[[#This Row],[Locality''s Allocation Percentage ]]</f>
        <v>34342.12570697457</v>
      </c>
      <c r="Z106" s="61">
        <f>($C$11+$D$11+$E$11+$F$11+$G$11+$H$11+$I$11+$J$11+$K$11)*Table53[[#This Row],[Locality''s Allocation Percentage ]]</f>
        <v>26163.978517772524</v>
      </c>
      <c r="AA106" s="61">
        <f>($C$12+$D$12+$E$12+$F$12+$G$12+$H$12+$I$12+$J$12+$K$12)*Table53[[#This Row],[Locality''s Allocation Percentage ]]</f>
        <v>36669.006482837191</v>
      </c>
      <c r="AB106" s="61">
        <f>($C$13+$D$13+$E$13+$F$13+$G$13+$H$13+$I$13+$J$13+$K$13)*Table53[[#This Row],[Locality''s Allocation Percentage ]]</f>
        <v>36835.848097327776</v>
      </c>
      <c r="AC106" s="61">
        <f>($C$14+$D$14+$E$14+$F$14+$G$14+$H$14+$I$14+$J$14+$K$14)*Table53[[#This Row],[Locality''s Allocation Percentage ]]</f>
        <v>34489.143785065484</v>
      </c>
      <c r="AD106" s="61">
        <f>($C$15+$D$15+$E$15+$F$15+$G$15+$H$15+$I$15+$J$15+$K$15)*Table53[[#This Row],[Locality''s Allocation Percentage ]]</f>
        <v>32006.13660558714</v>
      </c>
      <c r="AE106" s="61">
        <f>($C$16+$D$16+$E$16+$F$16+$G$16+$H$16+$I$16+$J$16+$K$16)*Table53[[#This Row],[Locality''s Allocation Percentage ]]</f>
        <v>29424.042361424323</v>
      </c>
      <c r="AF106" s="61">
        <f>($C$17+$D$17+$E$17+$F$17+$G$17+$H$17+$I$17+$J$17+$K$17)*Table53[[#This Row],[Locality''s Allocation Percentage ]]</f>
        <v>22454.84471461513</v>
      </c>
      <c r="AG106" s="61">
        <f>($C$18+$D$18+$E$18+$F$18+$G$18+$H$18+$I$18+$J$18+$K$18)*Table53[[#This Row],[Locality''s Allocation Percentage ]]</f>
        <v>22454.84471461513</v>
      </c>
      <c r="AH106" s="61">
        <f>($C$19+$D$19+$E$19+$F$19+$G$19+$H$19+$I$19+$J$19+$K$19)*Table53[[#This Row],[Locality''s Allocation Percentage ]]</f>
        <v>22454.84471461513</v>
      </c>
      <c r="AI106" s="61">
        <f>($C$20+$D$20+$E$20+$F$20+$G$20+$H$20+$I$20+$J$20+$K$20)*Table53[[#This Row],[Locality''s Allocation Percentage ]]</f>
        <v>18656.717392428276</v>
      </c>
      <c r="AJ106" s="61">
        <f>($C$21+$D$21+$E$21+$F$21+$G$21+$H$21+$I$21+$J$21+$K$21)*Table53[[#This Row],[Locality''s Allocation Percentage ]]</f>
        <v>18656.717392428276</v>
      </c>
      <c r="AK106" s="61">
        <f>($C$22+$D$22+$E$22+$F$22+$G$22+$H$22+$I$22+$J$22+$K$22)*Table53[[#This Row],[Locality''s Allocation Percentage ]]</f>
        <v>13061.88777440483</v>
      </c>
      <c r="AL106" s="61"/>
      <c r="AM106" s="61"/>
      <c r="AN106" s="61">
        <f>$L$6*Table53[[#This Row],[Locality''s Allocation Percentage ]]</f>
        <v>23007.76141419118</v>
      </c>
      <c r="AO106" s="61">
        <f>$L$7*Table53[[#This Row],[Locality''s Allocation Percentage ]]</f>
        <v>26632.667497850351</v>
      </c>
      <c r="AP106" s="61">
        <f>$L$8*Table53[[#This Row],[Locality''s Allocation Percentage ]]</f>
        <v>10371.138450071754</v>
      </c>
      <c r="AQ106" s="61">
        <f>$L$9*Table53[[#This Row],[Locality''s Allocation Percentage ]]</f>
        <v>11378.775983730626</v>
      </c>
      <c r="AR106" s="61">
        <f>$L$10*Table53[[#This Row],[Locality''s Allocation Percentage ]]</f>
        <v>12122.4034949857</v>
      </c>
      <c r="AS106" s="61">
        <f>$L$11*Table53[[#This Row],[Locality''s Allocation Percentage ]]</f>
        <v>9123.7495256116163</v>
      </c>
      <c r="AT106" s="61">
        <f>$L$12*Table53[[#This Row],[Locality''s Allocation Percentage ]]</f>
        <v>12975.593112801995</v>
      </c>
      <c r="AU106" s="61">
        <f>$L$13*Table53[[#This Row],[Locality''s Allocation Percentage ]]</f>
        <v>13053.470151862346</v>
      </c>
      <c r="AV106" s="61">
        <f>$L$14*Table53[[#This Row],[Locality''s Allocation Percentage ]]</f>
        <v>12139.97851457728</v>
      </c>
      <c r="AW106" s="61">
        <f>$L$15*Table53[[#This Row],[Locality''s Allocation Percentage ]]</f>
        <v>11229.807614035206</v>
      </c>
      <c r="AX106" s="61">
        <f>$L$16*Table53[[#This Row],[Locality''s Allocation Percentage ]]</f>
        <v>10283.039724508837</v>
      </c>
      <c r="AY106" s="61">
        <f>$L$17*Table53[[#This Row],[Locality''s Allocation Percentage ]]</f>
        <v>8028.2993093646883</v>
      </c>
      <c r="AZ106" s="61">
        <f>$L$18*Table53[[#This Row],[Locality''s Allocation Percentage ]]</f>
        <v>8028.2993093646883</v>
      </c>
      <c r="BA106" s="61">
        <f>$L$19*Table53[[#This Row],[Locality''s Allocation Percentage ]]</f>
        <v>8028.2993093646883</v>
      </c>
      <c r="BB106" s="61">
        <f>$L$20*Table53[[#This Row],[Locality''s Allocation Percentage ]]</f>
        <v>6635.652624562842</v>
      </c>
      <c r="BC106" s="61">
        <f>$L$21*Table53[[#This Row],[Locality''s Allocation Percentage ]]</f>
        <v>6635.652624562842</v>
      </c>
      <c r="BD106" s="61">
        <f>$L$22*Table53[[#This Row],[Locality''s Allocation Percentage ]]</f>
        <v>4789.3588506151036</v>
      </c>
      <c r="BE106" s="61"/>
      <c r="BF106" s="61">
        <f t="shared" si="70"/>
        <v>0</v>
      </c>
      <c r="BG106" s="61">
        <f t="shared" si="70"/>
        <v>5751.940353547795</v>
      </c>
      <c r="BH106" s="61">
        <f t="shared" si="75"/>
        <v>6658.1668744625877</v>
      </c>
      <c r="BI106" s="61">
        <f t="shared" si="76"/>
        <v>2592.7846125179385</v>
      </c>
      <c r="BJ106" s="61">
        <f t="shared" si="77"/>
        <v>2844.6939959326564</v>
      </c>
      <c r="BK106" s="61">
        <f t="shared" si="78"/>
        <v>3030.6008737464249</v>
      </c>
      <c r="BL106" s="61">
        <f t="shared" si="79"/>
        <v>2280.9373814029041</v>
      </c>
      <c r="BM106" s="61">
        <f t="shared" si="80"/>
        <v>3243.8982782004987</v>
      </c>
      <c r="BN106" s="61">
        <f t="shared" si="81"/>
        <v>3263.3675379655865</v>
      </c>
      <c r="BO106" s="61">
        <f t="shared" si="82"/>
        <v>3034.9946286443201</v>
      </c>
      <c r="BP106" s="61">
        <f t="shared" si="83"/>
        <v>2807.4519035088015</v>
      </c>
      <c r="BQ106" s="61">
        <f t="shared" si="84"/>
        <v>2570.7599311272093</v>
      </c>
      <c r="BR106" s="61">
        <f t="shared" si="85"/>
        <v>2007.0748273411721</v>
      </c>
      <c r="BS106" s="61">
        <f t="shared" si="86"/>
        <v>2007.0748273411721</v>
      </c>
      <c r="BT106" s="61">
        <f t="shared" si="87"/>
        <v>2007.0748273411721</v>
      </c>
      <c r="BU106" s="61">
        <f t="shared" si="88"/>
        <v>1658.9131561407105</v>
      </c>
      <c r="BV106" s="61">
        <f t="shared" si="89"/>
        <v>1658.9131561407105</v>
      </c>
      <c r="BW106" s="61">
        <f t="shared" si="74"/>
        <v>1197.3397126537759</v>
      </c>
      <c r="BX106" s="61"/>
      <c r="BY106" s="61">
        <f>($C$6+$D$6+$E$6)*Table53[[#This Row],[Locality''s Allocation Percentage ]]</f>
        <v>63583.26232959047</v>
      </c>
      <c r="BZ106" s="61">
        <f>$L$6*Table53[[#This Row],[Locality''s Allocation Percentage ]]</f>
        <v>23007.76141419118</v>
      </c>
      <c r="CA106" s="61">
        <f t="shared" si="71"/>
        <v>5751.940353547795</v>
      </c>
      <c r="CB106" s="76">
        <f>($C$7+$D$7+$E$7)*Table53[[#This Row],[Locality''s Allocation Percentage ]]</f>
        <v>22930.596930114458</v>
      </c>
      <c r="CC106" s="76">
        <f>$L$7*Table53[[#This Row],[Locality''s Allocation Percentage ]]</f>
        <v>26632.667497850351</v>
      </c>
      <c r="CD106" s="76">
        <f t="shared" si="72"/>
        <v>6658.1668744625877</v>
      </c>
    </row>
    <row r="107" spans="13:82" s="19" customFormat="1" ht="18" customHeight="1" x14ac:dyDescent="0.25">
      <c r="P107" s="36" t="s">
        <v>296</v>
      </c>
      <c r="Q107" s="37">
        <v>9.1000910009099998E-4</v>
      </c>
      <c r="S107" s="22" t="s">
        <v>172</v>
      </c>
      <c r="T107" s="61">
        <f>($C$5+$D$5+$E$5+$F$5+$G$5+$H$5+$I$5+$J$5+$K$5)*Table53[[#This Row],[Locality''s Allocation Percentage ]]</f>
        <v>3700.3783617281761</v>
      </c>
      <c r="U107" s="61">
        <f>($C$6+$D$6+$E$6+$F$6+$G$6+$H$6+$I$6+$J$6+$K$6)*Table53[[#This Row],[Locality''s Allocation Percentage ]]</f>
        <v>23425.412437217539</v>
      </c>
      <c r="V107" s="61">
        <f>($C$7+$D$7+$E$7+$F$7+$G$7+$H$7+$I$7+$J$7+$K$7)*Table53[[#This Row],[Locality''s Allocation Percentage ]]</f>
        <v>28889.527625730141</v>
      </c>
      <c r="W107" s="61">
        <f>($C$8+$D$8+$E$8+$F$8+$G$8+$H$8+$I$8+$J$8+$K$8)*Table53[[#This Row],[Locality''s Allocation Percentage ]]</f>
        <v>11079.069888799331</v>
      </c>
      <c r="X107" s="61">
        <f>($C$9+$D$9+$E$9+$F$9+$G$9+$H$9+$I$9+$J$9+$K$9)*Table53[[#This Row],[Locality''s Allocation Percentage ]]</f>
        <v>11905.176564944863</v>
      </c>
      <c r="Y107" s="61">
        <f>($C$10+$D$10+$E$10+$F$10+$G$10+$H$10+$I$10+$J$10+$K$10)*Table53[[#This Row],[Locality''s Allocation Percentage ]]</f>
        <v>12652.362102569577</v>
      </c>
      <c r="Z107" s="61">
        <f>($C$11+$D$11+$E$11+$F$11+$G$11+$H$11+$I$11+$J$11+$K$11)*Table53[[#This Row],[Locality''s Allocation Percentage ]]</f>
        <v>9639.3605065477714</v>
      </c>
      <c r="AA107" s="61">
        <f>($C$12+$D$12+$E$12+$F$12+$G$12+$H$12+$I$12+$J$12+$K$12)*Table53[[#This Row],[Locality''s Allocation Percentage ]]</f>
        <v>13509.633967361069</v>
      </c>
      <c r="AB107" s="61">
        <f>($C$13+$D$13+$E$13+$F$13+$G$13+$H$13+$I$13+$J$13+$K$13)*Table53[[#This Row],[Locality''s Allocation Percentage ]]</f>
        <v>13571.101930594443</v>
      </c>
      <c r="AC107" s="61">
        <f>($C$14+$D$14+$E$14+$F$14+$G$14+$H$14+$I$14+$J$14+$K$14)*Table53[[#This Row],[Locality''s Allocation Percentage ]]</f>
        <v>12706.526657655704</v>
      </c>
      <c r="AD107" s="61">
        <f>($C$15+$D$15+$E$15+$F$15+$G$15+$H$15+$I$15+$J$15+$K$15)*Table53[[#This Row],[Locality''s Allocation Percentage ]]</f>
        <v>11791.734538900524</v>
      </c>
      <c r="AE107" s="61">
        <f>($C$16+$D$16+$E$16+$F$16+$G$16+$H$16+$I$16+$J$16+$K$16)*Table53[[#This Row],[Locality''s Allocation Percentage ]]</f>
        <v>10840.436659472118</v>
      </c>
      <c r="AF107" s="61">
        <f>($C$17+$D$17+$E$17+$F$17+$G$17+$H$17+$I$17+$J$17+$K$17)*Table53[[#This Row],[Locality''s Allocation Percentage ]]</f>
        <v>8272.8375264371534</v>
      </c>
      <c r="AG107" s="61">
        <f>($C$18+$D$18+$E$18+$F$18+$G$18+$H$18+$I$18+$J$18+$K$18)*Table53[[#This Row],[Locality''s Allocation Percentage ]]</f>
        <v>8272.8375264371534</v>
      </c>
      <c r="AH107" s="61">
        <f>($C$19+$D$19+$E$19+$F$19+$G$19+$H$19+$I$19+$J$19+$K$19)*Table53[[#This Row],[Locality''s Allocation Percentage ]]</f>
        <v>8272.8375264371534</v>
      </c>
      <c r="AI107" s="61">
        <f>($C$20+$D$20+$E$20+$F$20+$G$20+$H$20+$I$20+$J$20+$K$20)*Table53[[#This Row],[Locality''s Allocation Percentage ]]</f>
        <v>6873.5274603683119</v>
      </c>
      <c r="AJ107" s="61">
        <f>($C$21+$D$21+$E$21+$F$21+$G$21+$H$21+$I$21+$J$21+$K$21)*Table53[[#This Row],[Locality''s Allocation Percentage ]]</f>
        <v>6873.5274603683119</v>
      </c>
      <c r="AK107" s="61">
        <f>($C$22+$D$22+$E$22+$F$22+$G$22+$H$22+$I$22+$J$22+$K$22)*Table53[[#This Row],[Locality''s Allocation Percentage ]]</f>
        <v>4812.2744432017789</v>
      </c>
      <c r="AL107" s="61"/>
      <c r="AM107" s="61"/>
      <c r="AN107" s="61">
        <f>$L$6*Table53[[#This Row],[Locality''s Allocation Percentage ]]</f>
        <v>8476.5436789125397</v>
      </c>
      <c r="AO107" s="61">
        <f>$L$7*Table53[[#This Row],[Locality''s Allocation Percentage ]]</f>
        <v>9812.0353939448651</v>
      </c>
      <c r="AP107" s="61">
        <f>$L$8*Table53[[#This Row],[Locality''s Allocation Percentage ]]</f>
        <v>3820.9457447632776</v>
      </c>
      <c r="AQ107" s="61">
        <f>$L$9*Table53[[#This Row],[Locality''s Allocation Percentage ]]</f>
        <v>4192.1806255849679</v>
      </c>
      <c r="AR107" s="61">
        <f>$L$10*Table53[[#This Row],[Locality''s Allocation Percentage ]]</f>
        <v>4466.1486560473631</v>
      </c>
      <c r="AS107" s="61">
        <f>$L$11*Table53[[#This Row],[Locality''s Allocation Percentage ]]</f>
        <v>3361.3814041727005</v>
      </c>
      <c r="AT107" s="61">
        <f>$L$12*Table53[[#This Row],[Locality''s Allocation Percentage ]]</f>
        <v>4780.4816731375768</v>
      </c>
      <c r="AU107" s="61">
        <f>$L$13*Table53[[#This Row],[Locality''s Allocation Percentage ]]</f>
        <v>4809.173213844022</v>
      </c>
      <c r="AV107" s="61">
        <f>$L$14*Table53[[#This Row],[Locality''s Allocation Percentage ]]</f>
        <v>4472.6236632653136</v>
      </c>
      <c r="AW107" s="61">
        <f>$L$15*Table53[[#This Row],[Locality''s Allocation Percentage ]]</f>
        <v>4137.2975420129696</v>
      </c>
      <c r="AX107" s="61">
        <f>$L$16*Table53[[#This Row],[Locality''s Allocation Percentage ]]</f>
        <v>3788.4883195558873</v>
      </c>
      <c r="AY107" s="61">
        <f>$L$17*Table53[[#This Row],[Locality''s Allocation Percentage ]]</f>
        <v>2957.7944823975167</v>
      </c>
      <c r="AZ107" s="61">
        <f>$L$18*Table53[[#This Row],[Locality''s Allocation Percentage ]]</f>
        <v>2957.7944823975167</v>
      </c>
      <c r="BA107" s="61">
        <f>$L$19*Table53[[#This Row],[Locality''s Allocation Percentage ]]</f>
        <v>2957.7944823975167</v>
      </c>
      <c r="BB107" s="61">
        <f>$L$20*Table53[[#This Row],[Locality''s Allocation Percentage ]]</f>
        <v>2444.7141248389416</v>
      </c>
      <c r="BC107" s="61">
        <f>$L$21*Table53[[#This Row],[Locality''s Allocation Percentage ]]</f>
        <v>2444.7141248389416</v>
      </c>
      <c r="BD107" s="61">
        <f>$L$22*Table53[[#This Row],[Locality''s Allocation Percentage ]]</f>
        <v>1764.5006291739855</v>
      </c>
      <c r="BE107" s="61"/>
      <c r="BF107" s="61">
        <f t="shared" si="70"/>
        <v>0</v>
      </c>
      <c r="BG107" s="61">
        <f t="shared" si="70"/>
        <v>2119.1359197281349</v>
      </c>
      <c r="BH107" s="61">
        <f t="shared" si="75"/>
        <v>2453.0088484862163</v>
      </c>
      <c r="BI107" s="61">
        <f t="shared" si="76"/>
        <v>955.2364361908194</v>
      </c>
      <c r="BJ107" s="61">
        <f t="shared" si="77"/>
        <v>1048.045156396242</v>
      </c>
      <c r="BK107" s="61">
        <f t="shared" si="78"/>
        <v>1116.5371640118408</v>
      </c>
      <c r="BL107" s="61">
        <f t="shared" si="79"/>
        <v>840.34535104317513</v>
      </c>
      <c r="BM107" s="61">
        <f t="shared" si="80"/>
        <v>1195.1204182843942</v>
      </c>
      <c r="BN107" s="61">
        <f t="shared" si="81"/>
        <v>1202.2933034610055</v>
      </c>
      <c r="BO107" s="61">
        <f t="shared" si="82"/>
        <v>1118.1559158163284</v>
      </c>
      <c r="BP107" s="61">
        <f t="shared" si="83"/>
        <v>1034.3243855032424</v>
      </c>
      <c r="BQ107" s="61">
        <f t="shared" si="84"/>
        <v>947.12207988897183</v>
      </c>
      <c r="BR107" s="61">
        <f t="shared" si="85"/>
        <v>739.44862059937918</v>
      </c>
      <c r="BS107" s="61">
        <f t="shared" si="86"/>
        <v>739.44862059937918</v>
      </c>
      <c r="BT107" s="61">
        <f t="shared" si="87"/>
        <v>739.44862059937918</v>
      </c>
      <c r="BU107" s="61">
        <f t="shared" si="88"/>
        <v>611.17853120973541</v>
      </c>
      <c r="BV107" s="61">
        <f t="shared" si="89"/>
        <v>611.17853120973541</v>
      </c>
      <c r="BW107" s="61">
        <f t="shared" si="74"/>
        <v>441.12515729349639</v>
      </c>
      <c r="BX107" s="61"/>
      <c r="BY107" s="61">
        <f>($C$6+$D$6+$E$6)*Table53[[#This Row],[Locality''s Allocation Percentage ]]</f>
        <v>23425.412437217539</v>
      </c>
      <c r="BZ107" s="61">
        <f>$L$6*Table53[[#This Row],[Locality''s Allocation Percentage ]]</f>
        <v>8476.5436789125397</v>
      </c>
      <c r="CA107" s="61">
        <f t="shared" si="71"/>
        <v>2119.1359197281349</v>
      </c>
      <c r="CB107" s="76">
        <f>($C$7+$D$7+$E$7)*Table53[[#This Row],[Locality''s Allocation Percentage ]]</f>
        <v>8448.1146584632206</v>
      </c>
      <c r="CC107" s="76">
        <f>$L$7*Table53[[#This Row],[Locality''s Allocation Percentage ]]</f>
        <v>9812.0353939448651</v>
      </c>
      <c r="CD107" s="76">
        <f t="shared" si="72"/>
        <v>2453.0088484862163</v>
      </c>
    </row>
    <row r="108" spans="13:82" s="19" customFormat="1" ht="18" customHeight="1" x14ac:dyDescent="0.25">
      <c r="P108" s="83" t="s">
        <v>297</v>
      </c>
      <c r="Q108" s="37">
        <v>8.4000840008400005E-4</v>
      </c>
      <c r="S108" s="22" t="s">
        <v>173</v>
      </c>
      <c r="T108" s="61">
        <f>($C$5+$D$5+$E$5+$F$5+$G$5+$H$5+$I$5+$J$5+$K$5)*Table53[[#This Row],[Locality''s Allocation Percentage ]]</f>
        <v>3415.7338723644702</v>
      </c>
      <c r="U108" s="61">
        <f>($C$6+$D$6+$E$6+$F$6+$G$6+$H$6+$I$6+$J$6+$K$6)*Table53[[#This Row],[Locality''s Allocation Percentage ]]</f>
        <v>21623.457634354654</v>
      </c>
      <c r="V108" s="61">
        <f>($C$7+$D$7+$E$7+$F$7+$G$7+$H$7+$I$7+$J$7+$K$7)*Table53[[#This Row],[Locality''s Allocation Percentage ]]</f>
        <v>26667.256269904748</v>
      </c>
      <c r="W108" s="61">
        <f>($C$8+$D$8+$E$8+$F$8+$G$8+$H$8+$I$8+$J$8+$K$8)*Table53[[#This Row],[Locality''s Allocation Percentage ]]</f>
        <v>10226.833743507077</v>
      </c>
      <c r="X108" s="61">
        <f>($C$9+$D$9+$E$9+$F$9+$G$9+$H$9+$I$9+$J$9+$K$9)*Table53[[#This Row],[Locality''s Allocation Percentage ]]</f>
        <v>10989.393752256798</v>
      </c>
      <c r="Y108" s="61">
        <f>($C$10+$D$10+$E$10+$F$10+$G$10+$H$10+$I$10+$J$10+$K$10)*Table53[[#This Row],[Locality''s Allocation Percentage ]]</f>
        <v>11679.103479294994</v>
      </c>
      <c r="Z108" s="61">
        <f>($C$11+$D$11+$E$11+$F$11+$G$11+$H$11+$I$11+$J$11+$K$11)*Table53[[#This Row],[Locality''s Allocation Percentage ]]</f>
        <v>8897.8712368133292</v>
      </c>
      <c r="AA108" s="61">
        <f>($C$12+$D$12+$E$12+$F$12+$G$12+$H$12+$I$12+$J$12+$K$12)*Table53[[#This Row],[Locality''s Allocation Percentage ]]</f>
        <v>12470.431354487142</v>
      </c>
      <c r="AB108" s="61">
        <f>($C$13+$D$13+$E$13+$F$13+$G$13+$H$13+$I$13+$J$13+$K$13)*Table53[[#This Row],[Locality''s Allocation Percentage ]]</f>
        <v>12527.17101285641</v>
      </c>
      <c r="AC108" s="61">
        <f>($C$14+$D$14+$E$14+$F$14+$G$14+$H$14+$I$14+$J$14+$K$14)*Table53[[#This Row],[Locality''s Allocation Percentage ]]</f>
        <v>11729.101530143729</v>
      </c>
      <c r="AD108" s="61">
        <f>($C$15+$D$15+$E$15+$F$15+$G$15+$H$15+$I$15+$J$15+$K$15)*Table53[[#This Row],[Locality''s Allocation Percentage ]]</f>
        <v>10884.678035908177</v>
      </c>
      <c r="AE108" s="61">
        <f>($C$16+$D$16+$E$16+$F$16+$G$16+$H$16+$I$16+$J$16+$K$16)*Table53[[#This Row],[Locality''s Allocation Percentage ]]</f>
        <v>10006.556916435802</v>
      </c>
      <c r="AF108" s="61">
        <f>($C$17+$D$17+$E$17+$F$17+$G$17+$H$17+$I$17+$J$17+$K$17)*Table53[[#This Row],[Locality''s Allocation Percentage ]]</f>
        <v>7636.4654090189106</v>
      </c>
      <c r="AG108" s="61">
        <f>($C$18+$D$18+$E$18+$F$18+$G$18+$H$18+$I$18+$J$18+$K$18)*Table53[[#This Row],[Locality''s Allocation Percentage ]]</f>
        <v>7636.4654090189106</v>
      </c>
      <c r="AH108" s="61">
        <f>($C$19+$D$19+$E$19+$F$19+$G$19+$H$19+$I$19+$J$19+$K$19)*Table53[[#This Row],[Locality''s Allocation Percentage ]]</f>
        <v>7636.4654090189106</v>
      </c>
      <c r="AI108" s="61">
        <f>($C$20+$D$20+$E$20+$F$20+$G$20+$H$20+$I$20+$J$20+$K$20)*Table53[[#This Row],[Locality''s Allocation Percentage ]]</f>
        <v>6344.7945788015195</v>
      </c>
      <c r="AJ108" s="61">
        <f>($C$21+$D$21+$E$21+$F$21+$G$21+$H$21+$I$21+$J$21+$K$21)*Table53[[#This Row],[Locality''s Allocation Percentage ]]</f>
        <v>6344.7945788015195</v>
      </c>
      <c r="AK108" s="61">
        <f>($C$22+$D$22+$E$22+$F$22+$G$22+$H$22+$I$22+$J$22+$K$22)*Table53[[#This Row],[Locality''s Allocation Percentage ]]</f>
        <v>4442.0994860324117</v>
      </c>
      <c r="AL108" s="61"/>
      <c r="AM108" s="61"/>
      <c r="AN108" s="61">
        <f>$L$6*Table53[[#This Row],[Locality''s Allocation Percentage ]]</f>
        <v>7824.5018574577289</v>
      </c>
      <c r="AO108" s="61">
        <f>$L$7*Table53[[#This Row],[Locality''s Allocation Percentage ]]</f>
        <v>9057.2634405644912</v>
      </c>
      <c r="AP108" s="61">
        <f>$L$8*Table53[[#This Row],[Locality''s Allocation Percentage ]]</f>
        <v>3527.0268413199492</v>
      </c>
      <c r="AQ108" s="61">
        <f>$L$9*Table53[[#This Row],[Locality''s Allocation Percentage ]]</f>
        <v>3869.7051928476626</v>
      </c>
      <c r="AR108" s="61">
        <f>$L$10*Table53[[#This Row],[Locality''s Allocation Percentage ]]</f>
        <v>4122.5987594283351</v>
      </c>
      <c r="AS108" s="61">
        <f>$L$11*Table53[[#This Row],[Locality''s Allocation Percentage ]]</f>
        <v>3102.8136038517237</v>
      </c>
      <c r="AT108" s="61">
        <f>$L$12*Table53[[#This Row],[Locality''s Allocation Percentage ]]</f>
        <v>4412.7523136654563</v>
      </c>
      <c r="AU108" s="61">
        <f>$L$13*Table53[[#This Row],[Locality''s Allocation Percentage ]]</f>
        <v>4439.2368127790978</v>
      </c>
      <c r="AV108" s="61">
        <f>$L$14*Table53[[#This Row],[Locality''s Allocation Percentage ]]</f>
        <v>4128.5756891679821</v>
      </c>
      <c r="AW108" s="61">
        <f>$L$15*Table53[[#This Row],[Locality''s Allocation Percentage ]]</f>
        <v>3819.0438849350498</v>
      </c>
      <c r="AX108" s="61">
        <f>$L$16*Table53[[#This Row],[Locality''s Allocation Percentage ]]</f>
        <v>3497.0661411285118</v>
      </c>
      <c r="AY108" s="61">
        <f>$L$17*Table53[[#This Row],[Locality''s Allocation Percentage ]]</f>
        <v>2730.2718299054</v>
      </c>
      <c r="AZ108" s="61">
        <f>$L$18*Table53[[#This Row],[Locality''s Allocation Percentage ]]</f>
        <v>2730.2718299054</v>
      </c>
      <c r="BA108" s="61">
        <f>$L$19*Table53[[#This Row],[Locality''s Allocation Percentage ]]</f>
        <v>2730.2718299054</v>
      </c>
      <c r="BB108" s="61">
        <f>$L$20*Table53[[#This Row],[Locality''s Allocation Percentage ]]</f>
        <v>2256.6591921590234</v>
      </c>
      <c r="BC108" s="61">
        <f>$L$21*Table53[[#This Row],[Locality''s Allocation Percentage ]]</f>
        <v>2256.6591921590234</v>
      </c>
      <c r="BD108" s="61">
        <f>$L$22*Table53[[#This Row],[Locality''s Allocation Percentage ]]</f>
        <v>1628.7698115452176</v>
      </c>
      <c r="BE108" s="61"/>
      <c r="BF108" s="61">
        <f t="shared" si="70"/>
        <v>0</v>
      </c>
      <c r="BG108" s="61">
        <f t="shared" si="70"/>
        <v>1956.1254643644322</v>
      </c>
      <c r="BH108" s="61">
        <f t="shared" si="75"/>
        <v>2264.3158601411228</v>
      </c>
      <c r="BI108" s="61">
        <f t="shared" si="76"/>
        <v>881.7567103299873</v>
      </c>
      <c r="BJ108" s="61">
        <f t="shared" si="77"/>
        <v>967.42629821191565</v>
      </c>
      <c r="BK108" s="61">
        <f t="shared" si="78"/>
        <v>1030.6496898570838</v>
      </c>
      <c r="BL108" s="61">
        <f t="shared" si="79"/>
        <v>775.70340096293091</v>
      </c>
      <c r="BM108" s="61">
        <f t="shared" si="80"/>
        <v>1103.1880784163641</v>
      </c>
      <c r="BN108" s="61">
        <f t="shared" si="81"/>
        <v>1109.8092031947745</v>
      </c>
      <c r="BO108" s="61">
        <f t="shared" si="82"/>
        <v>1032.1439222919955</v>
      </c>
      <c r="BP108" s="61">
        <f t="shared" si="83"/>
        <v>954.76097123376246</v>
      </c>
      <c r="BQ108" s="61">
        <f t="shared" si="84"/>
        <v>874.26653528212796</v>
      </c>
      <c r="BR108" s="61">
        <f t="shared" si="85"/>
        <v>682.56795747634999</v>
      </c>
      <c r="BS108" s="61">
        <f t="shared" si="86"/>
        <v>682.56795747634999</v>
      </c>
      <c r="BT108" s="61">
        <f t="shared" si="87"/>
        <v>682.56795747634999</v>
      </c>
      <c r="BU108" s="61">
        <f t="shared" si="88"/>
        <v>564.16479803975585</v>
      </c>
      <c r="BV108" s="61">
        <f t="shared" si="89"/>
        <v>564.16479803975585</v>
      </c>
      <c r="BW108" s="61">
        <f t="shared" si="74"/>
        <v>407.19245288630441</v>
      </c>
      <c r="BX108" s="61"/>
      <c r="BY108" s="61">
        <f>($C$6+$D$6+$E$6)*Table53[[#This Row],[Locality''s Allocation Percentage ]]</f>
        <v>21623.457634354654</v>
      </c>
      <c r="BZ108" s="61">
        <f>$L$6*Table53[[#This Row],[Locality''s Allocation Percentage ]]</f>
        <v>7824.5018574577289</v>
      </c>
      <c r="CA108" s="61">
        <f t="shared" si="71"/>
        <v>1956.1254643644322</v>
      </c>
      <c r="CB108" s="76">
        <f>($C$7+$D$7+$E$7)*Table53[[#This Row],[Locality''s Allocation Percentage ]]</f>
        <v>7798.2596847352816</v>
      </c>
      <c r="CC108" s="76">
        <f>$L$7*Table53[[#This Row],[Locality''s Allocation Percentage ]]</f>
        <v>9057.2634405644912</v>
      </c>
      <c r="CD108" s="76">
        <f t="shared" si="72"/>
        <v>2264.3158601411228</v>
      </c>
    </row>
    <row r="109" spans="13:82" s="19" customFormat="1" ht="18" customHeight="1" x14ac:dyDescent="0.25">
      <c r="P109" s="83" t="s">
        <v>174</v>
      </c>
      <c r="Q109" s="37">
        <v>4.2250422504224998E-2</v>
      </c>
      <c r="S109" s="22" t="s">
        <v>174</v>
      </c>
      <c r="T109" s="61">
        <f>($C$5+$D$5+$E$5+$F$5+$G$5+$H$5+$I$5+$J$5+$K$5)*Table53[[#This Row],[Locality''s Allocation Percentage ]]</f>
        <v>171803.28108023675</v>
      </c>
      <c r="U109" s="61">
        <f>($C$6+$D$6+$E$6+$F$6+$G$6+$H$6+$I$6+$J$6+$K$6)*Table53[[#This Row],[Locality''s Allocation Percentage ]]</f>
        <v>1087608.4345851</v>
      </c>
      <c r="V109" s="61">
        <f>($C$7+$D$7+$E$7+$F$7+$G$7+$H$7+$I$7+$J$7+$K$7)*Table53[[#This Row],[Locality''s Allocation Percentage ]]</f>
        <v>1341299.4969088994</v>
      </c>
      <c r="W109" s="61">
        <f>($C$8+$D$8+$E$8+$F$8+$G$8+$H$8+$I$8+$J$8+$K$8)*Table53[[#This Row],[Locality''s Allocation Percentage ]]</f>
        <v>514385.38769425469</v>
      </c>
      <c r="X109" s="61">
        <f>($C$9+$D$9+$E$9+$F$9+$G$9+$H$9+$I$9+$J$9+$K$9)*Table53[[#This Row],[Locality''s Allocation Percentage ]]</f>
        <v>552740.34051529714</v>
      </c>
      <c r="Y109" s="61">
        <f>($C$10+$D$10+$E$10+$F$10+$G$10+$H$10+$I$10+$J$10+$K$10)*Table53[[#This Row],[Locality''s Allocation Percentage ]]</f>
        <v>587431.09761930176</v>
      </c>
      <c r="Z109" s="61">
        <f>($C$11+$D$11+$E$11+$F$11+$G$11+$H$11+$I$11+$J$11+$K$11)*Table53[[#This Row],[Locality''s Allocation Percentage ]]</f>
        <v>447541.7378040037</v>
      </c>
      <c r="AA109" s="61">
        <f>($C$12+$D$12+$E$12+$F$12+$G$12+$H$12+$I$12+$J$12+$K$12)*Table53[[#This Row],[Locality''s Allocation Percentage ]]</f>
        <v>627233.00562747824</v>
      </c>
      <c r="AB109" s="61">
        <f>($C$13+$D$13+$E$13+$F$13+$G$13+$H$13+$I$13+$J$13+$K$13)*Table53[[#This Row],[Locality''s Allocation Percentage ]]</f>
        <v>630086.87534902769</v>
      </c>
      <c r="AC109" s="61">
        <f>($C$14+$D$14+$E$14+$F$14+$G$14+$H$14+$I$14+$J$14+$K$14)*Table53[[#This Row],[Locality''s Allocation Percentage ]]</f>
        <v>589945.8805340149</v>
      </c>
      <c r="AD109" s="61">
        <f>($C$15+$D$15+$E$15+$F$15+$G$15+$H$15+$I$15+$J$15+$K$15)*Table53[[#This Row],[Locality''s Allocation Percentage ]]</f>
        <v>547473.38930609578</v>
      </c>
      <c r="AE109" s="61">
        <f>($C$16+$D$16+$E$16+$F$16+$G$16+$H$16+$I$16+$J$16+$K$16)*Table53[[#This Row],[Locality''s Allocation Percentage ]]</f>
        <v>503305.98776120547</v>
      </c>
      <c r="AF109" s="61">
        <f>($C$17+$D$17+$E$17+$F$17+$G$17+$H$17+$I$17+$J$17+$K$17)*Table53[[#This Row],[Locality''s Allocation Percentage ]]</f>
        <v>384096.02801315353</v>
      </c>
      <c r="AG109" s="61">
        <f>($C$18+$D$18+$E$18+$F$18+$G$18+$H$18+$I$18+$J$18+$K$18)*Table53[[#This Row],[Locality''s Allocation Percentage ]]</f>
        <v>384096.02801315353</v>
      </c>
      <c r="AH109" s="61">
        <f>($C$19+$D$19+$E$19+$F$19+$G$19+$H$19+$I$19+$J$19+$K$19)*Table53[[#This Row],[Locality''s Allocation Percentage ]]</f>
        <v>384096.02801315353</v>
      </c>
      <c r="AI109" s="61">
        <f>($C$20+$D$20+$E$20+$F$20+$G$20+$H$20+$I$20+$J$20+$K$20)*Table53[[#This Row],[Locality''s Allocation Percentage ]]</f>
        <v>319128.06065995735</v>
      </c>
      <c r="AJ109" s="61">
        <f>($C$21+$D$21+$E$21+$F$21+$G$21+$H$21+$I$21+$J$21+$K$21)*Table53[[#This Row],[Locality''s Allocation Percentage ]]</f>
        <v>319128.06065995735</v>
      </c>
      <c r="AK109" s="61">
        <f>($C$22+$D$22+$E$22+$F$22+$G$22+$H$22+$I$22+$J$22+$K$22)*Table53[[#This Row],[Locality''s Allocation Percentage ]]</f>
        <v>223427.02772008261</v>
      </c>
      <c r="AL109" s="61"/>
      <c r="AM109" s="61"/>
      <c r="AN109" s="61">
        <f>$L$6*Table53[[#This Row],[Locality''s Allocation Percentage ]]</f>
        <v>393553.81366379646</v>
      </c>
      <c r="AO109" s="61">
        <f>$L$7*Table53[[#This Row],[Locality''s Allocation Percentage ]]</f>
        <v>455558.78614744014</v>
      </c>
      <c r="AP109" s="61">
        <f>$L$8*Table53[[#This Row],[Locality''s Allocation Percentage ]]</f>
        <v>177401.05243543789</v>
      </c>
      <c r="AQ109" s="61">
        <f>$L$9*Table53[[#This Row],[Locality''s Allocation Percentage ]]</f>
        <v>194636.95761644491</v>
      </c>
      <c r="AR109" s="61">
        <f>$L$10*Table53[[#This Row],[Locality''s Allocation Percentage ]]</f>
        <v>207356.90188791326</v>
      </c>
      <c r="AS109" s="61">
        <f>$L$11*Table53[[#This Row],[Locality''s Allocation Percentage ]]</f>
        <v>156064.13662230395</v>
      </c>
      <c r="AT109" s="61">
        <f>$L$12*Table53[[#This Row],[Locality''s Allocation Percentage ]]</f>
        <v>221950.93482424464</v>
      </c>
      <c r="AU109" s="61">
        <f>$L$13*Table53[[#This Row],[Locality''s Allocation Percentage ]]</f>
        <v>223283.0420713296</v>
      </c>
      <c r="AV109" s="61">
        <f>$L$14*Table53[[#This Row],[Locality''s Allocation Percentage ]]</f>
        <v>207657.5272230324</v>
      </c>
      <c r="AW109" s="61">
        <f>$L$15*Table53[[#This Row],[Locality''s Allocation Percentage ]]</f>
        <v>192088.81445060216</v>
      </c>
      <c r="AX109" s="61">
        <f>$L$16*Table53[[#This Row],[Locality''s Allocation Percentage ]]</f>
        <v>175894.10055080906</v>
      </c>
      <c r="AY109" s="61">
        <f>$L$17*Table53[[#This Row],[Locality''s Allocation Percentage ]]</f>
        <v>137326.17239702755</v>
      </c>
      <c r="AZ109" s="61">
        <f>$L$18*Table53[[#This Row],[Locality''s Allocation Percentage ]]</f>
        <v>137326.17239702755</v>
      </c>
      <c r="BA109" s="61">
        <f>$L$19*Table53[[#This Row],[Locality''s Allocation Percentage ]]</f>
        <v>137326.17239702755</v>
      </c>
      <c r="BB109" s="61">
        <f>$L$20*Table53[[#This Row],[Locality''s Allocation Percentage ]]</f>
        <v>113504.58436752229</v>
      </c>
      <c r="BC109" s="61">
        <f>$L$21*Table53[[#This Row],[Locality''s Allocation Percentage ]]</f>
        <v>113504.58436752229</v>
      </c>
      <c r="BD109" s="61">
        <f>$L$22*Table53[[#This Row],[Locality''s Allocation Percentage ]]</f>
        <v>81923.243497363612</v>
      </c>
      <c r="BE109" s="61"/>
      <c r="BF109" s="61">
        <f t="shared" si="70"/>
        <v>0</v>
      </c>
      <c r="BG109" s="61">
        <f t="shared" si="70"/>
        <v>98388.453415949116</v>
      </c>
      <c r="BH109" s="61">
        <f t="shared" si="75"/>
        <v>113889.69653686004</v>
      </c>
      <c r="BI109" s="61">
        <f t="shared" si="76"/>
        <v>44350.263108859472</v>
      </c>
      <c r="BJ109" s="61">
        <f t="shared" si="77"/>
        <v>48659.239404111227</v>
      </c>
      <c r="BK109" s="61">
        <f t="shared" si="78"/>
        <v>51839.225471978316</v>
      </c>
      <c r="BL109" s="61">
        <f t="shared" si="79"/>
        <v>39016.034155575988</v>
      </c>
      <c r="BM109" s="61">
        <f t="shared" si="80"/>
        <v>55487.733706061161</v>
      </c>
      <c r="BN109" s="61">
        <f t="shared" si="81"/>
        <v>55820.760517832401</v>
      </c>
      <c r="BO109" s="61">
        <f t="shared" si="82"/>
        <v>51914.381805758101</v>
      </c>
      <c r="BP109" s="61">
        <f t="shared" si="83"/>
        <v>48022.203612650541</v>
      </c>
      <c r="BQ109" s="61">
        <f t="shared" si="84"/>
        <v>43973.525137702265</v>
      </c>
      <c r="BR109" s="61">
        <f t="shared" si="85"/>
        <v>34331.543099256887</v>
      </c>
      <c r="BS109" s="61">
        <f t="shared" si="86"/>
        <v>34331.543099256887</v>
      </c>
      <c r="BT109" s="61">
        <f t="shared" si="87"/>
        <v>34331.543099256887</v>
      </c>
      <c r="BU109" s="61">
        <f t="shared" si="88"/>
        <v>28376.146091880571</v>
      </c>
      <c r="BV109" s="61">
        <f t="shared" si="89"/>
        <v>28376.146091880571</v>
      </c>
      <c r="BW109" s="61">
        <f t="shared" si="74"/>
        <v>20480.810874340903</v>
      </c>
      <c r="BX109" s="61"/>
      <c r="BY109" s="61">
        <f>($C$6+$D$6+$E$6)*Table53[[#This Row],[Locality''s Allocation Percentage ]]</f>
        <v>1087608.4345851</v>
      </c>
      <c r="BZ109" s="61">
        <f>$L$6*Table53[[#This Row],[Locality''s Allocation Percentage ]]</f>
        <v>393553.81366379646</v>
      </c>
      <c r="CA109" s="61">
        <f t="shared" si="71"/>
        <v>98388.453415949116</v>
      </c>
      <c r="CB109" s="76">
        <f>($C$7+$D$7+$E$7)*Table53[[#This Row],[Locality''s Allocation Percentage ]]</f>
        <v>392233.89485722093</v>
      </c>
      <c r="CC109" s="76">
        <f>$L$7*Table53[[#This Row],[Locality''s Allocation Percentage ]]</f>
        <v>455558.78614744014</v>
      </c>
      <c r="CD109" s="76">
        <f t="shared" si="72"/>
        <v>113889.69653686004</v>
      </c>
    </row>
    <row r="110" spans="13:82" s="19" customFormat="1" ht="18" customHeight="1" x14ac:dyDescent="0.25">
      <c r="P110" s="83" t="s">
        <v>298</v>
      </c>
      <c r="Q110" s="37">
        <v>1.4980149801498E-2</v>
      </c>
      <c r="S110" s="22" t="s">
        <v>176</v>
      </c>
      <c r="T110" s="61">
        <f>($C$5+$D$5+$E$5+$F$5+$G$5+$H$5+$I$5+$J$5+$K$5)*Table53[[#This Row],[Locality''s Allocation Percentage ]]</f>
        <v>60913.920723833049</v>
      </c>
      <c r="U110" s="61">
        <f>($C$6+$D$6+$E$6+$F$6+$G$6+$H$6+$I$6+$J$6+$K$6)*Table53[[#This Row],[Locality''s Allocation Percentage ]]</f>
        <v>385618.32781265798</v>
      </c>
      <c r="V110" s="61">
        <f>($C$7+$D$7+$E$7+$F$7+$G$7+$H$7+$I$7+$J$7+$K$7)*Table53[[#This Row],[Locality''s Allocation Percentage ]]</f>
        <v>475566.07014663465</v>
      </c>
      <c r="W110" s="61">
        <f>($C$8+$D$8+$E$8+$F$8+$G$8+$H$8+$I$8+$J$8+$K$8)*Table53[[#This Row],[Locality''s Allocation Percentage ]]</f>
        <v>182378.53509254285</v>
      </c>
      <c r="X110" s="61">
        <f>($C$9+$D$9+$E$9+$F$9+$G$9+$H$9+$I$9+$J$9+$K$9)*Table53[[#This Row],[Locality''s Allocation Percentage ]]</f>
        <v>195977.52191524618</v>
      </c>
      <c r="Y110" s="61">
        <f>($C$10+$D$10+$E$10+$F$10+$G$10+$H$10+$I$10+$J$10+$K$10)*Table53[[#This Row],[Locality''s Allocation Percentage ]]</f>
        <v>208277.34538076073</v>
      </c>
      <c r="Z110" s="61">
        <f>($C$11+$D$11+$E$11+$F$11+$G$11+$H$11+$I$11+$J$11+$K$11)*Table53[[#This Row],[Locality''s Allocation Percentage ]]</f>
        <v>158678.70372317103</v>
      </c>
      <c r="AA110" s="61">
        <f>($C$12+$D$12+$E$12+$F$12+$G$12+$H$12+$I$12+$J$12+$K$12)*Table53[[#This Row],[Locality''s Allocation Percentage ]]</f>
        <v>222389.35915502068</v>
      </c>
      <c r="AB110" s="61">
        <f>($C$13+$D$13+$E$13+$F$13+$G$13+$H$13+$I$13+$J$13+$K$13)*Table53[[#This Row],[Locality''s Allocation Percentage ]]</f>
        <v>223401.21639593929</v>
      </c>
      <c r="AC110" s="61">
        <f>($C$14+$D$14+$E$14+$F$14+$G$14+$H$14+$I$14+$J$14+$K$14)*Table53[[#This Row],[Locality''s Allocation Percentage ]]</f>
        <v>209168.97728756315</v>
      </c>
      <c r="AD110" s="61">
        <f>($C$15+$D$15+$E$15+$F$15+$G$15+$H$15+$I$15+$J$15+$K$15)*Table53[[#This Row],[Locality''s Allocation Percentage ]]</f>
        <v>194110.09164036249</v>
      </c>
      <c r="AE110" s="61">
        <f>($C$16+$D$16+$E$16+$F$16+$G$16+$H$16+$I$16+$J$16+$K$16)*Table53[[#This Row],[Locality''s Allocation Percentage ]]</f>
        <v>178450.2650097718</v>
      </c>
      <c r="AF110" s="61">
        <f>($C$17+$D$17+$E$17+$F$17+$G$17+$H$17+$I$17+$J$17+$K$17)*Table53[[#This Row],[Locality''s Allocation Percentage ]]</f>
        <v>136183.63312750391</v>
      </c>
      <c r="AG110" s="61">
        <f>($C$18+$D$18+$E$18+$F$18+$G$18+$H$18+$I$18+$J$18+$K$18)*Table53[[#This Row],[Locality''s Allocation Percentage ]]</f>
        <v>136183.63312750391</v>
      </c>
      <c r="AH110" s="61">
        <f>($C$19+$D$19+$E$19+$F$19+$G$19+$H$19+$I$19+$J$19+$K$19)*Table53[[#This Row],[Locality''s Allocation Percentage ]]</f>
        <v>136183.63312750391</v>
      </c>
      <c r="AI110" s="61">
        <f>($C$20+$D$20+$E$20+$F$20+$G$20+$H$20+$I$20+$J$20+$K$20)*Table53[[#This Row],[Locality''s Allocation Percentage ]]</f>
        <v>113148.83665529375</v>
      </c>
      <c r="AJ110" s="61">
        <f>($C$21+$D$21+$E$21+$F$21+$G$21+$H$21+$I$21+$J$21+$K$21)*Table53[[#This Row],[Locality''s Allocation Percentage ]]</f>
        <v>113148.83665529375</v>
      </c>
      <c r="AK110" s="61">
        <f>($C$22+$D$22+$E$22+$F$22+$G$22+$H$22+$I$22+$J$22+$K$22)*Table53[[#This Row],[Locality''s Allocation Percentage ]]</f>
        <v>79217.44083424467</v>
      </c>
      <c r="AL110" s="61"/>
      <c r="AM110" s="61"/>
      <c r="AN110" s="61">
        <f>$L$6*Table53[[#This Row],[Locality''s Allocation Percentage ]]</f>
        <v>139536.94979132951</v>
      </c>
      <c r="AO110" s="61">
        <f>$L$7*Table53[[#This Row],[Locality''s Allocation Percentage ]]</f>
        <v>161521.19802340009</v>
      </c>
      <c r="AP110" s="61">
        <f>$L$8*Table53[[#This Row],[Locality''s Allocation Percentage ]]</f>
        <v>62898.645336872418</v>
      </c>
      <c r="AQ110" s="61">
        <f>$L$9*Table53[[#This Row],[Locality''s Allocation Percentage ]]</f>
        <v>69009.742605783307</v>
      </c>
      <c r="AR110" s="61">
        <f>$L$10*Table53[[#This Row],[Locality''s Allocation Percentage ]]</f>
        <v>73519.677876471978</v>
      </c>
      <c r="AS110" s="61">
        <f>$L$11*Table53[[#This Row],[Locality''s Allocation Percentage ]]</f>
        <v>55333.509268689071</v>
      </c>
      <c r="AT110" s="61">
        <f>$L$12*Table53[[#This Row],[Locality''s Allocation Percentage ]]</f>
        <v>78694.08292703396</v>
      </c>
      <c r="AU110" s="61">
        <f>$L$13*Table53[[#This Row],[Locality''s Allocation Percentage ]]</f>
        <v>79166.389827893901</v>
      </c>
      <c r="AV110" s="61">
        <f>$L$14*Table53[[#This Row],[Locality''s Allocation Percentage ]]</f>
        <v>73626.266456829006</v>
      </c>
      <c r="AW110" s="61">
        <f>$L$15*Table53[[#This Row],[Locality''s Allocation Percentage ]]</f>
        <v>68106.282614675045</v>
      </c>
      <c r="AX110" s="61">
        <f>$L$16*Table53[[#This Row],[Locality''s Allocation Percentage ]]</f>
        <v>62364.346183458452</v>
      </c>
      <c r="AY110" s="61">
        <f>$L$17*Table53[[#This Row],[Locality''s Allocation Percentage ]]</f>
        <v>48689.847633312966</v>
      </c>
      <c r="AZ110" s="61">
        <f>$L$18*Table53[[#This Row],[Locality''s Allocation Percentage ]]</f>
        <v>48689.847633312966</v>
      </c>
      <c r="BA110" s="61">
        <f>$L$19*Table53[[#This Row],[Locality''s Allocation Percentage ]]</f>
        <v>48689.847633312966</v>
      </c>
      <c r="BB110" s="61">
        <f>$L$20*Table53[[#This Row],[Locality''s Allocation Percentage ]]</f>
        <v>40243.755593502581</v>
      </c>
      <c r="BC110" s="61">
        <f>$L$21*Table53[[#This Row],[Locality''s Allocation Percentage ]]</f>
        <v>40243.755593502581</v>
      </c>
      <c r="BD110" s="61">
        <f>$L$22*Table53[[#This Row],[Locality''s Allocation Percentage ]]</f>
        <v>29046.39497255638</v>
      </c>
      <c r="BE110" s="61"/>
      <c r="BF110" s="61">
        <f t="shared" si="70"/>
        <v>0</v>
      </c>
      <c r="BG110" s="61">
        <f t="shared" si="70"/>
        <v>34884.237447832376</v>
      </c>
      <c r="BH110" s="61">
        <f t="shared" si="75"/>
        <v>40380.299505850024</v>
      </c>
      <c r="BI110" s="61">
        <f t="shared" si="76"/>
        <v>15724.661334218104</v>
      </c>
      <c r="BJ110" s="61">
        <f t="shared" si="77"/>
        <v>17252.435651445827</v>
      </c>
      <c r="BK110" s="61">
        <f t="shared" si="78"/>
        <v>18379.919469117995</v>
      </c>
      <c r="BL110" s="61">
        <f t="shared" si="79"/>
        <v>13833.377317172268</v>
      </c>
      <c r="BM110" s="61">
        <f t="shared" si="80"/>
        <v>19673.52073175849</v>
      </c>
      <c r="BN110" s="61">
        <f t="shared" si="81"/>
        <v>19791.597456973475</v>
      </c>
      <c r="BO110" s="61">
        <f t="shared" si="82"/>
        <v>18406.566614207251</v>
      </c>
      <c r="BP110" s="61">
        <f t="shared" si="83"/>
        <v>17026.570653668761</v>
      </c>
      <c r="BQ110" s="61">
        <f t="shared" si="84"/>
        <v>15591.086545864613</v>
      </c>
      <c r="BR110" s="61">
        <f t="shared" si="85"/>
        <v>12172.461908328241</v>
      </c>
      <c r="BS110" s="61">
        <f t="shared" si="86"/>
        <v>12172.461908328241</v>
      </c>
      <c r="BT110" s="61">
        <f t="shared" si="87"/>
        <v>12172.461908328241</v>
      </c>
      <c r="BU110" s="61">
        <f t="shared" si="88"/>
        <v>10060.938898375645</v>
      </c>
      <c r="BV110" s="61">
        <f t="shared" si="89"/>
        <v>10060.938898375645</v>
      </c>
      <c r="BW110" s="61">
        <f t="shared" si="74"/>
        <v>7261.5987431390949</v>
      </c>
      <c r="BX110" s="61"/>
      <c r="BY110" s="61">
        <f>($C$6+$D$6+$E$6)*Table53[[#This Row],[Locality''s Allocation Percentage ]]</f>
        <v>385618.32781265798</v>
      </c>
      <c r="BZ110" s="61">
        <f>$L$6*Table53[[#This Row],[Locality''s Allocation Percentage ]]</f>
        <v>139536.94979132951</v>
      </c>
      <c r="CA110" s="61">
        <f t="shared" si="71"/>
        <v>34884.237447832376</v>
      </c>
      <c r="CB110" s="76">
        <f>($C$7+$D$7+$E$7)*Table53[[#This Row],[Locality''s Allocation Percentage ]]</f>
        <v>139068.96437777916</v>
      </c>
      <c r="CC110" s="76">
        <f>$L$7*Table53[[#This Row],[Locality''s Allocation Percentage ]]</f>
        <v>161521.19802340009</v>
      </c>
      <c r="CD110" s="76">
        <f t="shared" si="72"/>
        <v>40380.299505850024</v>
      </c>
    </row>
    <row r="111" spans="13:82" s="19" customFormat="1" ht="18" customHeight="1" x14ac:dyDescent="0.25">
      <c r="P111" s="83" t="s">
        <v>175</v>
      </c>
      <c r="Q111" s="37">
        <v>1.8590185901858999E-2</v>
      </c>
      <c r="S111" s="22" t="s">
        <v>175</v>
      </c>
      <c r="T111" s="61">
        <f>($C$5+$D$5+$E$5+$F$5+$G$5+$H$5+$I$5+$J$5+$K$5)*Table53[[#This Row],[Locality''s Allocation Percentage ]]</f>
        <v>75593.443675304166</v>
      </c>
      <c r="U111" s="61">
        <f>($C$6+$D$6+$E$6+$F$6+$G$6+$H$6+$I$6+$J$6+$K$6)*Table53[[#This Row],[Locality''s Allocation Percentage ]]</f>
        <v>478547.71121744404</v>
      </c>
      <c r="V111" s="61">
        <f>($C$7+$D$7+$E$7+$F$7+$G$7+$H$7+$I$7+$J$7+$K$7)*Table53[[#This Row],[Locality''s Allocation Percentage ]]</f>
        <v>590171.77863991575</v>
      </c>
      <c r="W111" s="61">
        <f>($C$8+$D$8+$E$8+$F$8+$G$8+$H$8+$I$8+$J$8+$K$8)*Table53[[#This Row],[Locality''s Allocation Percentage ]]</f>
        <v>226329.57058547207</v>
      </c>
      <c r="X111" s="61">
        <f>($C$9+$D$9+$E$9+$F$9+$G$9+$H$9+$I$9+$J$9+$K$9)*Table53[[#This Row],[Locality''s Allocation Percentage ]]</f>
        <v>243205.74982673075</v>
      </c>
      <c r="Y111" s="61">
        <f>($C$10+$D$10+$E$10+$F$10+$G$10+$H$10+$I$10+$J$10+$K$10)*Table53[[#This Row],[Locality''s Allocation Percentage ]]</f>
        <v>258469.68295249279</v>
      </c>
      <c r="Z111" s="61">
        <f>($C$11+$D$11+$E$11+$F$11+$G$11+$H$11+$I$11+$J$11+$K$11)*Table53[[#This Row],[Locality''s Allocation Percentage ]]</f>
        <v>196918.36463376161</v>
      </c>
      <c r="AA111" s="61">
        <f>($C$12+$D$12+$E$12+$F$12+$G$12+$H$12+$I$12+$J$12+$K$12)*Table53[[#This Row],[Locality''s Allocation Percentage ]]</f>
        <v>275982.52247609041</v>
      </c>
      <c r="AB111" s="61">
        <f>($C$13+$D$13+$E$13+$F$13+$G$13+$H$13+$I$13+$J$13+$K$13)*Table53[[#This Row],[Locality''s Allocation Percentage ]]</f>
        <v>277238.22515357222</v>
      </c>
      <c r="AC111" s="61">
        <f>($C$14+$D$14+$E$14+$F$14+$G$14+$H$14+$I$14+$J$14+$K$14)*Table53[[#This Row],[Locality''s Allocation Percentage ]]</f>
        <v>259576.18743496653</v>
      </c>
      <c r="AD111" s="61">
        <f>($C$15+$D$15+$E$15+$F$15+$G$15+$H$15+$I$15+$J$15+$K$15)*Table53[[#This Row],[Locality''s Allocation Percentage ]]</f>
        <v>240888.29129468213</v>
      </c>
      <c r="AE111" s="61">
        <f>($C$16+$D$16+$E$16+$F$16+$G$16+$H$16+$I$16+$J$16+$K$16)*Table53[[#This Row],[Locality''s Allocation Percentage ]]</f>
        <v>221454.6346149304</v>
      </c>
      <c r="AF111" s="61">
        <f>($C$17+$D$17+$E$17+$F$17+$G$17+$H$17+$I$17+$J$17+$K$17)*Table53[[#This Row],[Locality''s Allocation Percentage ]]</f>
        <v>169002.25232578756</v>
      </c>
      <c r="AG111" s="61">
        <f>($C$18+$D$18+$E$18+$F$18+$G$18+$H$18+$I$18+$J$18+$K$18)*Table53[[#This Row],[Locality''s Allocation Percentage ]]</f>
        <v>169002.25232578756</v>
      </c>
      <c r="AH111" s="61">
        <f>($C$19+$D$19+$E$19+$F$19+$G$19+$H$19+$I$19+$J$19+$K$19)*Table53[[#This Row],[Locality''s Allocation Percentage ]]</f>
        <v>169002.25232578756</v>
      </c>
      <c r="AI111" s="61">
        <f>($C$20+$D$20+$E$20+$F$20+$G$20+$H$20+$I$20+$J$20+$K$20)*Table53[[#This Row],[Locality''s Allocation Percentage ]]</f>
        <v>140416.34669038124</v>
      </c>
      <c r="AJ111" s="61">
        <f>($C$21+$D$21+$E$21+$F$21+$G$21+$H$21+$I$21+$J$21+$K$21)*Table53[[#This Row],[Locality''s Allocation Percentage ]]</f>
        <v>140416.34669038124</v>
      </c>
      <c r="AK111" s="61">
        <f>($C$22+$D$22+$E$22+$F$22+$G$22+$H$22+$I$22+$J$22+$K$22)*Table53[[#This Row],[Locality''s Allocation Percentage ]]</f>
        <v>98307.892196836343</v>
      </c>
      <c r="AL111" s="61"/>
      <c r="AM111" s="61"/>
      <c r="AN111" s="61">
        <f>$L$6*Table53[[#This Row],[Locality''s Allocation Percentage ]]</f>
        <v>173163.67801207045</v>
      </c>
      <c r="AO111" s="61">
        <f>$L$7*Table53[[#This Row],[Locality''s Allocation Percentage ]]</f>
        <v>200445.86590487367</v>
      </c>
      <c r="AP111" s="61">
        <f>$L$8*Table53[[#This Row],[Locality''s Allocation Percentage ]]</f>
        <v>78056.463071592676</v>
      </c>
      <c r="AQ111" s="61">
        <f>$L$9*Table53[[#This Row],[Locality''s Allocation Percentage ]]</f>
        <v>85640.261351235764</v>
      </c>
      <c r="AR111" s="61">
        <f>$L$10*Table53[[#This Row],[Locality''s Allocation Percentage ]]</f>
        <v>91237.036830681842</v>
      </c>
      <c r="AS111" s="61">
        <f>$L$11*Table53[[#This Row],[Locality''s Allocation Percentage ]]</f>
        <v>68668.220113813746</v>
      </c>
      <c r="AT111" s="61">
        <f>$L$12*Table53[[#This Row],[Locality''s Allocation Percentage ]]</f>
        <v>97658.411322667642</v>
      </c>
      <c r="AU111" s="61">
        <f>$L$13*Table53[[#This Row],[Locality''s Allocation Percentage ]]</f>
        <v>98244.538511385021</v>
      </c>
      <c r="AV111" s="61">
        <f>$L$14*Table53[[#This Row],[Locality''s Allocation Percentage ]]</f>
        <v>91369.311978134254</v>
      </c>
      <c r="AW111" s="61">
        <f>$L$15*Table53[[#This Row],[Locality''s Allocation Percentage ]]</f>
        <v>84519.07835826496</v>
      </c>
      <c r="AX111" s="61">
        <f>$L$16*Table53[[#This Row],[Locality''s Allocation Percentage ]]</f>
        <v>77393.404242355988</v>
      </c>
      <c r="AY111" s="61">
        <f>$L$17*Table53[[#This Row],[Locality''s Allocation Percentage ]]</f>
        <v>60423.515854692123</v>
      </c>
      <c r="AZ111" s="61">
        <f>$L$18*Table53[[#This Row],[Locality''s Allocation Percentage ]]</f>
        <v>60423.515854692123</v>
      </c>
      <c r="BA111" s="61">
        <f>$L$19*Table53[[#This Row],[Locality''s Allocation Percentage ]]</f>
        <v>60423.515854692123</v>
      </c>
      <c r="BB111" s="61">
        <f>$L$20*Table53[[#This Row],[Locality''s Allocation Percentage ]]</f>
        <v>49942.01712170981</v>
      </c>
      <c r="BC111" s="61">
        <f>$L$21*Table53[[#This Row],[Locality''s Allocation Percentage ]]</f>
        <v>49942.01712170981</v>
      </c>
      <c r="BD111" s="61">
        <f>$L$22*Table53[[#This Row],[Locality''s Allocation Percentage ]]</f>
        <v>36046.227138839989</v>
      </c>
      <c r="BE111" s="61"/>
      <c r="BF111" s="61">
        <f t="shared" si="70"/>
        <v>0</v>
      </c>
      <c r="BG111" s="61">
        <f t="shared" si="70"/>
        <v>43290.919503017612</v>
      </c>
      <c r="BH111" s="61">
        <f t="shared" si="75"/>
        <v>50111.466476218418</v>
      </c>
      <c r="BI111" s="61">
        <f t="shared" si="76"/>
        <v>19514.115767898169</v>
      </c>
      <c r="BJ111" s="61">
        <f t="shared" si="77"/>
        <v>21410.065337808941</v>
      </c>
      <c r="BK111" s="61">
        <f t="shared" si="78"/>
        <v>22809.25920767046</v>
      </c>
      <c r="BL111" s="61">
        <f t="shared" si="79"/>
        <v>17167.055028453437</v>
      </c>
      <c r="BM111" s="61">
        <f t="shared" si="80"/>
        <v>24414.60283066691</v>
      </c>
      <c r="BN111" s="61">
        <f t="shared" si="81"/>
        <v>24561.134627846255</v>
      </c>
      <c r="BO111" s="61">
        <f t="shared" si="82"/>
        <v>22842.327994533563</v>
      </c>
      <c r="BP111" s="61">
        <f t="shared" si="83"/>
        <v>21129.76958956624</v>
      </c>
      <c r="BQ111" s="61">
        <f t="shared" si="84"/>
        <v>19348.351060588997</v>
      </c>
      <c r="BR111" s="61">
        <f t="shared" si="85"/>
        <v>15105.878963673031</v>
      </c>
      <c r="BS111" s="61">
        <f t="shared" si="86"/>
        <v>15105.878963673031</v>
      </c>
      <c r="BT111" s="61">
        <f t="shared" si="87"/>
        <v>15105.878963673031</v>
      </c>
      <c r="BU111" s="61">
        <f t="shared" si="88"/>
        <v>12485.504280427453</v>
      </c>
      <c r="BV111" s="61">
        <f t="shared" si="89"/>
        <v>12485.504280427453</v>
      </c>
      <c r="BW111" s="61">
        <f t="shared" si="74"/>
        <v>9011.5567847099974</v>
      </c>
      <c r="BX111" s="61"/>
      <c r="BY111" s="61">
        <f>($C$6+$D$6+$E$6)*Table53[[#This Row],[Locality''s Allocation Percentage ]]</f>
        <v>478547.71121744404</v>
      </c>
      <c r="BZ111" s="61">
        <f>$L$6*Table53[[#This Row],[Locality''s Allocation Percentage ]]</f>
        <v>173163.67801207045</v>
      </c>
      <c r="CA111" s="61">
        <f t="shared" si="71"/>
        <v>43290.919503017612</v>
      </c>
      <c r="CB111" s="76">
        <f>($C$7+$D$7+$E$7)*Table53[[#This Row],[Locality''s Allocation Percentage ]]</f>
        <v>172582.91373717724</v>
      </c>
      <c r="CC111" s="76">
        <f>$L$7*Table53[[#This Row],[Locality''s Allocation Percentage ]]</f>
        <v>200445.86590487367</v>
      </c>
      <c r="CD111" s="76">
        <f t="shared" si="72"/>
        <v>50111.466476218418</v>
      </c>
    </row>
    <row r="112" spans="13:82" s="19" customFormat="1" ht="18" customHeight="1" x14ac:dyDescent="0.25">
      <c r="P112" s="36" t="s">
        <v>299</v>
      </c>
      <c r="Q112" s="37">
        <v>2.3500235002349998E-3</v>
      </c>
      <c r="S112" s="22" t="s">
        <v>177</v>
      </c>
      <c r="T112" s="61">
        <f>($C$5+$D$5+$E$5+$F$5+$G$5+$H$5+$I$5+$J$5+$K$5)*Table53[[#This Row],[Locality''s Allocation Percentage ]]</f>
        <v>9555.9221429244099</v>
      </c>
      <c r="U112" s="61">
        <f>($C$6+$D$6+$E$6+$F$6+$G$6+$H$6+$I$6+$J$6+$K$6)*Table53[[#This Row],[Locality''s Allocation Percentage ]]</f>
        <v>60494.196953254082</v>
      </c>
      <c r="V112" s="61">
        <f>($C$7+$D$7+$E$7+$F$7+$G$7+$H$7+$I$7+$J$7+$K$7)*Table53[[#This Row],[Locality''s Allocation Percentage ]]</f>
        <v>74604.824088423979</v>
      </c>
      <c r="W112" s="61">
        <f>($C$8+$D$8+$E$8+$F$8+$G$8+$H$8+$I$8+$J$8+$K$8)*Table53[[#This Row],[Locality''s Allocation Percentage ]]</f>
        <v>28610.784877668604</v>
      </c>
      <c r="X112" s="61">
        <f>($C$9+$D$9+$E$9+$F$9+$G$9+$H$9+$I$9+$J$9+$K$9)*Table53[[#This Row],[Locality''s Allocation Percentage ]]</f>
        <v>30744.137283099368</v>
      </c>
      <c r="Y112" s="61">
        <f>($C$10+$D$10+$E$10+$F$10+$G$10+$H$10+$I$10+$J$10+$K$10)*Table53[[#This Row],[Locality''s Allocation Percentage ]]</f>
        <v>32673.682352789565</v>
      </c>
      <c r="Z112" s="61">
        <f>($C$11+$D$11+$E$11+$F$11+$G$11+$H$11+$I$11+$J$11+$K$11)*Table53[[#This Row],[Locality''s Allocation Percentage ]]</f>
        <v>24892.854055370619</v>
      </c>
      <c r="AA112" s="61">
        <f>($C$12+$D$12+$E$12+$F$12+$G$12+$H$12+$I$12+$J$12+$K$12)*Table53[[#This Row],[Locality''s Allocation Percentage ]]</f>
        <v>34887.516289339022</v>
      </c>
      <c r="AB112" s="61">
        <f>($C$13+$D$13+$E$13+$F$13+$G$13+$H$13+$I$13+$J$13+$K$13)*Table53[[#This Row],[Locality''s Allocation Percentage ]]</f>
        <v>35046.252238348286</v>
      </c>
      <c r="AC112" s="61">
        <f>($C$14+$D$14+$E$14+$F$14+$G$14+$H$14+$I$14+$J$14+$K$14)*Table53[[#This Row],[Locality''s Allocation Percentage ]]</f>
        <v>32813.557852187805</v>
      </c>
      <c r="AD112" s="61">
        <f>($C$15+$D$15+$E$15+$F$15+$G$15+$H$15+$I$15+$J$15+$K$15)*Table53[[#This Row],[Locality''s Allocation Percentage ]]</f>
        <v>30451.182600457396</v>
      </c>
      <c r="AE112" s="61">
        <f>($C$16+$D$16+$E$16+$F$16+$G$16+$H$16+$I$16+$J$16+$K$16)*Table53[[#This Row],[Locality''s Allocation Percentage ]]</f>
        <v>27994.53423050492</v>
      </c>
      <c r="AF112" s="61">
        <f>($C$17+$D$17+$E$17+$F$17+$G$17+$H$17+$I$17+$J$17+$K$17)*Table53[[#This Row],[Locality''s Allocation Percentage ]]</f>
        <v>21363.921084755282</v>
      </c>
      <c r="AG112" s="61">
        <f>($C$18+$D$18+$E$18+$F$18+$G$18+$H$18+$I$18+$J$18+$K$18)*Table53[[#This Row],[Locality''s Allocation Percentage ]]</f>
        <v>21363.921084755282</v>
      </c>
      <c r="AH112" s="61">
        <f>($C$19+$D$19+$E$19+$F$19+$G$19+$H$19+$I$19+$J$19+$K$19)*Table53[[#This Row],[Locality''s Allocation Percentage ]]</f>
        <v>21363.921084755282</v>
      </c>
      <c r="AI112" s="61">
        <f>($C$20+$D$20+$E$20+$F$20+$G$20+$H$20+$I$20+$J$20+$K$20)*Table53[[#This Row],[Locality''s Allocation Percentage ]]</f>
        <v>17750.318166885201</v>
      </c>
      <c r="AJ112" s="61">
        <f>($C$21+$D$21+$E$21+$F$21+$G$21+$H$21+$I$21+$J$21+$K$21)*Table53[[#This Row],[Locality''s Allocation Percentage ]]</f>
        <v>17750.318166885201</v>
      </c>
      <c r="AK112" s="61">
        <f>($C$22+$D$22+$E$22+$F$22+$G$22+$H$22+$I$22+$J$22+$K$22)*Table53[[#This Row],[Locality''s Allocation Percentage ]]</f>
        <v>12427.302133543055</v>
      </c>
      <c r="AL112" s="61"/>
      <c r="AM112" s="61"/>
      <c r="AN112" s="61">
        <f>$L$6*Table53[[#This Row],[Locality''s Allocation Percentage ]]</f>
        <v>21889.975434554359</v>
      </c>
      <c r="AO112" s="61">
        <f>$L$7*Table53[[#This Row],[Locality''s Allocation Percentage ]]</f>
        <v>25338.772720626846</v>
      </c>
      <c r="AP112" s="61">
        <f>$L$8*Table53[[#This Row],[Locality''s Allocation Percentage ]]</f>
        <v>9867.2774727403321</v>
      </c>
      <c r="AQ112" s="61">
        <f>$L$9*Table53[[#This Row],[Locality''s Allocation Percentage ]]</f>
        <v>10825.960956180959</v>
      </c>
      <c r="AR112" s="61">
        <f>$L$10*Table53[[#This Row],[Locality''s Allocation Percentage ]]</f>
        <v>11533.460815067365</v>
      </c>
      <c r="AS112" s="61">
        <f>$L$11*Table53[[#This Row],[Locality''s Allocation Percentage ]]</f>
        <v>8680.4904393470842</v>
      </c>
      <c r="AT112" s="61">
        <f>$L$12*Table53[[#This Row],[Locality''s Allocation Percentage ]]</f>
        <v>12345.199925135501</v>
      </c>
      <c r="AU112" s="61">
        <f>$L$13*Table53[[#This Row],[Locality''s Allocation Percentage ]]</f>
        <v>12419.293464322474</v>
      </c>
      <c r="AV112" s="61">
        <f>$L$14*Table53[[#This Row],[Locality''s Allocation Percentage ]]</f>
        <v>11550.181987553282</v>
      </c>
      <c r="AW112" s="61">
        <f>$L$15*Table53[[#This Row],[Locality''s Allocation Percentage ]]</f>
        <v>10684.22991618734</v>
      </c>
      <c r="AX112" s="61">
        <f>$L$16*Table53[[#This Row],[Locality''s Allocation Percentage ]]</f>
        <v>9783.4588472047635</v>
      </c>
      <c r="AY112" s="61">
        <f>$L$17*Table53[[#This Row],[Locality''s Allocation Percentage ]]</f>
        <v>7638.260476521059</v>
      </c>
      <c r="AZ112" s="61">
        <f>$L$18*Table53[[#This Row],[Locality''s Allocation Percentage ]]</f>
        <v>7638.260476521059</v>
      </c>
      <c r="BA112" s="61">
        <f>$L$19*Table53[[#This Row],[Locality''s Allocation Percentage ]]</f>
        <v>7638.260476521059</v>
      </c>
      <c r="BB112" s="61">
        <f>$L$20*Table53[[#This Row],[Locality''s Allocation Percentage ]]</f>
        <v>6313.2727399686955</v>
      </c>
      <c r="BC112" s="61">
        <f>$L$21*Table53[[#This Row],[Locality''s Allocation Percentage ]]</f>
        <v>6313.2727399686955</v>
      </c>
      <c r="BD112" s="61">
        <f>$L$22*Table53[[#This Row],[Locality''s Allocation Percentage ]]</f>
        <v>4556.6774489657864</v>
      </c>
      <c r="BE112" s="61"/>
      <c r="BF112" s="61">
        <f t="shared" si="70"/>
        <v>0</v>
      </c>
      <c r="BG112" s="61">
        <f t="shared" si="70"/>
        <v>5472.4938586385897</v>
      </c>
      <c r="BH112" s="61">
        <f t="shared" si="75"/>
        <v>6334.6931801567116</v>
      </c>
      <c r="BI112" s="61">
        <f t="shared" si="76"/>
        <v>2466.819368185083</v>
      </c>
      <c r="BJ112" s="61">
        <f t="shared" si="77"/>
        <v>2706.4902390452398</v>
      </c>
      <c r="BK112" s="61">
        <f t="shared" si="78"/>
        <v>2883.3652037668412</v>
      </c>
      <c r="BL112" s="61">
        <f t="shared" si="79"/>
        <v>2170.1226098367711</v>
      </c>
      <c r="BM112" s="61">
        <f t="shared" si="80"/>
        <v>3086.2999812838752</v>
      </c>
      <c r="BN112" s="61">
        <f t="shared" si="81"/>
        <v>3104.8233660806186</v>
      </c>
      <c r="BO112" s="61">
        <f t="shared" si="82"/>
        <v>2887.5454968883205</v>
      </c>
      <c r="BP112" s="61">
        <f t="shared" si="83"/>
        <v>2671.0574790468349</v>
      </c>
      <c r="BQ112" s="61">
        <f t="shared" si="84"/>
        <v>2445.8647118011909</v>
      </c>
      <c r="BR112" s="61">
        <f t="shared" si="85"/>
        <v>1909.5651191302647</v>
      </c>
      <c r="BS112" s="61">
        <f t="shared" si="86"/>
        <v>1909.5651191302647</v>
      </c>
      <c r="BT112" s="61">
        <f t="shared" si="87"/>
        <v>1909.5651191302647</v>
      </c>
      <c r="BU112" s="61">
        <f t="shared" si="88"/>
        <v>1578.3181849921739</v>
      </c>
      <c r="BV112" s="61">
        <f t="shared" si="89"/>
        <v>1578.3181849921739</v>
      </c>
      <c r="BW112" s="61">
        <f t="shared" si="74"/>
        <v>1139.1693622414466</v>
      </c>
      <c r="BX112" s="61"/>
      <c r="BY112" s="61">
        <f>($C$6+$D$6+$E$6)*Table53[[#This Row],[Locality''s Allocation Percentage ]]</f>
        <v>60494.196953254082</v>
      </c>
      <c r="BZ112" s="61">
        <f>$L$6*Table53[[#This Row],[Locality''s Allocation Percentage ]]</f>
        <v>21889.975434554359</v>
      </c>
      <c r="CA112" s="61">
        <f t="shared" si="71"/>
        <v>5472.4938586385897</v>
      </c>
      <c r="CB112" s="76">
        <f>($C$7+$D$7+$E$7)*Table53[[#This Row],[Locality''s Allocation Percentage ]]</f>
        <v>21816.55983229513</v>
      </c>
      <c r="CC112" s="76">
        <f>$L$7*Table53[[#This Row],[Locality''s Allocation Percentage ]]</f>
        <v>25338.772720626846</v>
      </c>
      <c r="CD112" s="76">
        <f t="shared" si="72"/>
        <v>6334.6931801567116</v>
      </c>
    </row>
    <row r="113" spans="16:82" s="19" customFormat="1" ht="18" customHeight="1" x14ac:dyDescent="0.25">
      <c r="P113" s="36" t="s">
        <v>300</v>
      </c>
      <c r="Q113" s="37">
        <v>6.1400614006140103E-3</v>
      </c>
      <c r="S113" s="22" t="s">
        <v>178</v>
      </c>
      <c r="T113" s="61">
        <f>($C$5+$D$5+$E$5+$F$5+$G$5+$H$5+$I$5+$J$5+$K$5)*Table53[[#This Row],[Locality''s Allocation Percentage ]]</f>
        <v>24967.388067045096</v>
      </c>
      <c r="U113" s="61">
        <f>($C$6+$D$6+$E$6+$F$6+$G$6+$H$6+$I$6+$J$6+$K$6)*Table53[[#This Row],[Locality''s Allocation Percentage ]]</f>
        <v>158057.178422545</v>
      </c>
      <c r="V113" s="61">
        <f>($C$7+$D$7+$E$7+$F$7+$G$7+$H$7+$I$7+$J$7+$K$7)*Table53[[#This Row],[Locality''s Allocation Percentage ]]</f>
        <v>194924.94463954217</v>
      </c>
      <c r="W113" s="61">
        <f>($C$8+$D$8+$E$8+$F$8+$G$8+$H$8+$I$8+$J$8+$K$8)*Table53[[#This Row],[Locality''s Allocation Percentage ]]</f>
        <v>74753.284744206612</v>
      </c>
      <c r="X113" s="61">
        <f>($C$9+$D$9+$E$9+$F$9+$G$9+$H$9+$I$9+$J$9+$K$9)*Table53[[#This Row],[Locality''s Allocation Percentage ]]</f>
        <v>80327.235284353388</v>
      </c>
      <c r="Y113" s="61">
        <f>($C$10+$D$10+$E$10+$F$10+$G$10+$H$10+$I$10+$J$10+$K$10)*Table53[[#This Row],[Locality''s Allocation Percentage ]]</f>
        <v>85368.684955799268</v>
      </c>
      <c r="Z113" s="61">
        <f>($C$11+$D$11+$E$11+$F$11+$G$11+$H$11+$I$11+$J$11+$K$11)*Table53[[#This Row],[Locality''s Allocation Percentage ]]</f>
        <v>65039.201659564198</v>
      </c>
      <c r="AA113" s="61">
        <f>($C$12+$D$12+$E$12+$F$12+$G$12+$H$12+$I$12+$J$12+$K$12)*Table53[[#This Row],[Locality''s Allocation Percentage ]]</f>
        <v>91152.914900656164</v>
      </c>
      <c r="AB113" s="61">
        <f>($C$13+$D$13+$E$13+$F$13+$G$13+$H$13+$I$13+$J$13+$K$13)*Table53[[#This Row],[Locality''s Allocation Percentage ]]</f>
        <v>91567.654784450569</v>
      </c>
      <c r="AC113" s="61">
        <f>($C$14+$D$14+$E$14+$F$14+$G$14+$H$14+$I$14+$J$14+$K$14)*Table53[[#This Row],[Locality''s Allocation Percentage ]]</f>
        <v>85734.146898907871</v>
      </c>
      <c r="AD113" s="61">
        <f>($C$15+$D$15+$E$15+$F$15+$G$15+$H$15+$I$15+$J$15+$K$15)*Table53[[#This Row],[Locality''s Allocation Percentage ]]</f>
        <v>79561.813262471798</v>
      </c>
      <c r="AE113" s="61">
        <f>($C$16+$D$16+$E$16+$F$16+$G$16+$H$16+$I$16+$J$16+$K$16)*Table53[[#This Row],[Locality''s Allocation Percentage ]]</f>
        <v>73143.166032042762</v>
      </c>
      <c r="AF113" s="61">
        <f>($C$17+$D$17+$E$17+$F$17+$G$17+$H$17+$I$17+$J$17+$K$17)*Table53[[#This Row],[Locality''s Allocation Percentage ]]</f>
        <v>55818.925727828799</v>
      </c>
      <c r="AG113" s="61">
        <f>($C$18+$D$18+$E$18+$F$18+$G$18+$H$18+$I$18+$J$18+$K$18)*Table53[[#This Row],[Locality''s Allocation Percentage ]]</f>
        <v>55818.925727828799</v>
      </c>
      <c r="AH113" s="61">
        <f>($C$19+$D$19+$E$19+$F$19+$G$19+$H$19+$I$19+$J$19+$K$19)*Table53[[#This Row],[Locality''s Allocation Percentage ]]</f>
        <v>55818.925727828799</v>
      </c>
      <c r="AI113" s="61">
        <f>($C$20+$D$20+$E$20+$F$20+$G$20+$H$20+$I$20+$J$20+$K$20)*Table53[[#This Row],[Locality''s Allocation Percentage ]]</f>
        <v>46377.427040287366</v>
      </c>
      <c r="AJ113" s="61">
        <f>($C$21+$D$21+$E$21+$F$21+$G$21+$H$21+$I$21+$J$21+$K$21)*Table53[[#This Row],[Locality''s Allocation Percentage ]]</f>
        <v>46377.427040287366</v>
      </c>
      <c r="AK113" s="61">
        <f>($C$22+$D$22+$E$22+$F$22+$G$22+$H$22+$I$22+$J$22+$K$22)*Table53[[#This Row],[Locality''s Allocation Percentage ]]</f>
        <v>32469.631957427446</v>
      </c>
      <c r="AL113" s="61"/>
      <c r="AM113" s="61"/>
      <c r="AN113" s="61">
        <f>$L$6*Table53[[#This Row],[Locality''s Allocation Percentage ]]</f>
        <v>57193.382624750637</v>
      </c>
      <c r="AO113" s="61">
        <f>$L$7*Table53[[#This Row],[Locality''s Allocation Percentage ]]</f>
        <v>66204.282767935802</v>
      </c>
      <c r="AP113" s="61">
        <f>$L$8*Table53[[#This Row],[Locality''s Allocation Percentage ]]</f>
        <v>25780.886673457764</v>
      </c>
      <c r="AQ113" s="61">
        <f>$L$9*Table53[[#This Row],[Locality''s Allocation Percentage ]]</f>
        <v>28285.702242957959</v>
      </c>
      <c r="AR113" s="61">
        <f>$L$10*Table53[[#This Row],[Locality''s Allocation Percentage ]]</f>
        <v>30134.233789154787</v>
      </c>
      <c r="AS113" s="61">
        <f>$L$11*Table53[[#This Row],[Locality''s Allocation Percentage ]]</f>
        <v>22680.089913868589</v>
      </c>
      <c r="AT113" s="61">
        <f>$L$12*Table53[[#This Row],[Locality''s Allocation Percentage ]]</f>
        <v>32255.118102268982</v>
      </c>
      <c r="AU113" s="61">
        <f>$L$13*Table53[[#This Row],[Locality''s Allocation Percentage ]]</f>
        <v>32448.707179123459</v>
      </c>
      <c r="AV113" s="61">
        <f>$L$14*Table53[[#This Row],[Locality''s Allocation Percentage ]]</f>
        <v>30177.922299394584</v>
      </c>
      <c r="AW113" s="61">
        <f>$L$15*Table53[[#This Row],[Locality''s Allocation Percentage ]]</f>
        <v>27915.392206549099</v>
      </c>
      <c r="AX113" s="61">
        <f>$L$16*Table53[[#This Row],[Locality''s Allocation Percentage ]]</f>
        <v>25561.888222058449</v>
      </c>
      <c r="AY113" s="61">
        <f>$L$17*Table53[[#This Row],[Locality''s Allocation Percentage ]]</f>
        <v>19956.986947165697</v>
      </c>
      <c r="AZ113" s="61">
        <f>$L$18*Table53[[#This Row],[Locality''s Allocation Percentage ]]</f>
        <v>19956.986947165697</v>
      </c>
      <c r="BA113" s="61">
        <f>$L$19*Table53[[#This Row],[Locality''s Allocation Percentage ]]</f>
        <v>19956.986947165697</v>
      </c>
      <c r="BB113" s="61">
        <f>$L$20*Table53[[#This Row],[Locality''s Allocation Percentage ]]</f>
        <v>16495.104095067174</v>
      </c>
      <c r="BC113" s="61">
        <f>$L$21*Table53[[#This Row],[Locality''s Allocation Percentage ]]</f>
        <v>16495.104095067174</v>
      </c>
      <c r="BD113" s="61">
        <f>$L$22*Table53[[#This Row],[Locality''s Allocation Percentage ]]</f>
        <v>11905.531717723396</v>
      </c>
      <c r="BE113" s="61"/>
      <c r="BF113" s="61">
        <f t="shared" si="70"/>
        <v>0</v>
      </c>
      <c r="BG113" s="61">
        <f t="shared" si="70"/>
        <v>14298.345656187659</v>
      </c>
      <c r="BH113" s="61">
        <f t="shared" si="75"/>
        <v>16551.07069198395</v>
      </c>
      <c r="BI113" s="61">
        <f t="shared" si="76"/>
        <v>6445.221668364441</v>
      </c>
      <c r="BJ113" s="61">
        <f t="shared" si="77"/>
        <v>7071.4255607394898</v>
      </c>
      <c r="BK113" s="61">
        <f t="shared" si="78"/>
        <v>7533.5584472886967</v>
      </c>
      <c r="BL113" s="61">
        <f t="shared" si="79"/>
        <v>5670.0224784671473</v>
      </c>
      <c r="BM113" s="61">
        <f t="shared" si="80"/>
        <v>8063.7795255672454</v>
      </c>
      <c r="BN113" s="61">
        <f t="shared" si="81"/>
        <v>8112.1767947808648</v>
      </c>
      <c r="BO113" s="61">
        <f t="shared" si="82"/>
        <v>7544.480574848646</v>
      </c>
      <c r="BP113" s="61">
        <f t="shared" si="83"/>
        <v>6978.8480516372747</v>
      </c>
      <c r="BQ113" s="61">
        <f t="shared" si="84"/>
        <v>6390.4720555146123</v>
      </c>
      <c r="BR113" s="61">
        <f t="shared" si="85"/>
        <v>4989.2467367914242</v>
      </c>
      <c r="BS113" s="61">
        <f t="shared" si="86"/>
        <v>4989.2467367914242</v>
      </c>
      <c r="BT113" s="61">
        <f t="shared" si="87"/>
        <v>4989.2467367914242</v>
      </c>
      <c r="BU113" s="61">
        <f t="shared" si="88"/>
        <v>4123.7760237667935</v>
      </c>
      <c r="BV113" s="61">
        <f t="shared" si="89"/>
        <v>4123.7760237667935</v>
      </c>
      <c r="BW113" s="61">
        <f t="shared" si="74"/>
        <v>2976.3829294308489</v>
      </c>
      <c r="BX113" s="61"/>
      <c r="BY113" s="61">
        <f>($C$6+$D$6+$E$6)*Table53[[#This Row],[Locality''s Allocation Percentage ]]</f>
        <v>158057.178422545</v>
      </c>
      <c r="BZ113" s="61">
        <f>$L$6*Table53[[#This Row],[Locality''s Allocation Percentage ]]</f>
        <v>57193.382624750637</v>
      </c>
      <c r="CA113" s="61">
        <f t="shared" si="71"/>
        <v>14298.345656187659</v>
      </c>
      <c r="CB113" s="76">
        <f>($C$7+$D$7+$E$7)*Table53[[#This Row],[Locality''s Allocation Percentage ]]</f>
        <v>57001.564838422266</v>
      </c>
      <c r="CC113" s="76">
        <f>$L$7*Table53[[#This Row],[Locality''s Allocation Percentage ]]</f>
        <v>66204.282767935802</v>
      </c>
      <c r="CD113" s="76">
        <f t="shared" si="72"/>
        <v>16551.07069198395</v>
      </c>
    </row>
    <row r="114" spans="16:82" s="19" customFormat="1" ht="18" customHeight="1" x14ac:dyDescent="0.25">
      <c r="P114" s="36" t="s">
        <v>301</v>
      </c>
      <c r="Q114" s="37">
        <v>1.0640106401064E-2</v>
      </c>
      <c r="S114" s="22" t="s">
        <v>179</v>
      </c>
      <c r="T114" s="61">
        <f>($C$5+$D$5+$E$5+$F$5+$G$5+$H$5+$I$5+$J$5+$K$5)*Table53[[#This Row],[Locality''s Allocation Percentage ]]</f>
        <v>43265.962383283288</v>
      </c>
      <c r="U114" s="61">
        <f>($C$6+$D$6+$E$6+$F$6+$G$6+$H$6+$I$6+$J$6+$K$6)*Table53[[#This Row],[Locality''s Allocation Percentage ]]</f>
        <v>273897.13003515895</v>
      </c>
      <c r="V114" s="61">
        <f>($C$7+$D$7+$E$7+$F$7+$G$7+$H$7+$I$7+$J$7+$K$7)*Table53[[#This Row],[Locality''s Allocation Percentage ]]</f>
        <v>337785.24608546012</v>
      </c>
      <c r="W114" s="61">
        <f>($C$8+$D$8+$E$8+$F$8+$G$8+$H$8+$I$8+$J$8+$K$8)*Table53[[#This Row],[Locality''s Allocation Percentage ]]</f>
        <v>129539.89408442297</v>
      </c>
      <c r="X114" s="61">
        <f>($C$9+$D$9+$E$9+$F$9+$G$9+$H$9+$I$9+$J$9+$K$9)*Table53[[#This Row],[Locality''s Allocation Percentage ]]</f>
        <v>139198.98752858609</v>
      </c>
      <c r="Y114" s="61">
        <f>($C$10+$D$10+$E$10+$F$10+$G$10+$H$10+$I$10+$J$10+$K$10)*Table53[[#This Row],[Locality''s Allocation Percentage ]]</f>
        <v>147935.31073773658</v>
      </c>
      <c r="Z114" s="61">
        <f>($C$11+$D$11+$E$11+$F$11+$G$11+$H$11+$I$11+$J$11+$K$11)*Table53[[#This Row],[Locality''s Allocation Percentage ]]</f>
        <v>112706.36899963548</v>
      </c>
      <c r="AA114" s="61">
        <f>($C$12+$D$12+$E$12+$F$12+$G$12+$H$12+$I$12+$J$12+$K$12)*Table53[[#This Row],[Locality''s Allocation Percentage ]]</f>
        <v>157958.79715683713</v>
      </c>
      <c r="AB114" s="61">
        <f>($C$13+$D$13+$E$13+$F$13+$G$13+$H$13+$I$13+$J$13+$K$13)*Table53[[#This Row],[Locality''s Allocation Percentage ]]</f>
        <v>158677.49949618118</v>
      </c>
      <c r="AC114" s="61">
        <f>($C$14+$D$14+$E$14+$F$14+$G$14+$H$14+$I$14+$J$14+$K$14)*Table53[[#This Row],[Locality''s Allocation Percentage ]]</f>
        <v>148568.61938182055</v>
      </c>
      <c r="AD114" s="61">
        <f>($C$15+$D$15+$E$15+$F$15+$G$15+$H$15+$I$15+$J$15+$K$15)*Table53[[#This Row],[Locality''s Allocation Percentage ]]</f>
        <v>137872.58845483689</v>
      </c>
      <c r="AE114" s="61">
        <f>($C$16+$D$16+$E$16+$F$16+$G$16+$H$16+$I$16+$J$16+$K$16)*Table53[[#This Row],[Locality''s Allocation Percentage ]]</f>
        <v>126749.72094152015</v>
      </c>
      <c r="AF114" s="61">
        <f>($C$17+$D$17+$E$17+$F$17+$G$17+$H$17+$I$17+$J$17+$K$17)*Table53[[#This Row],[Locality''s Allocation Percentage ]]</f>
        <v>96728.561847572855</v>
      </c>
      <c r="AG114" s="61">
        <f>($C$18+$D$18+$E$18+$F$18+$G$18+$H$18+$I$18+$J$18+$K$18)*Table53[[#This Row],[Locality''s Allocation Percentage ]]</f>
        <v>96728.561847572855</v>
      </c>
      <c r="AH114" s="61">
        <f>($C$19+$D$19+$E$19+$F$19+$G$19+$H$19+$I$19+$J$19+$K$19)*Table53[[#This Row],[Locality''s Allocation Percentage ]]</f>
        <v>96728.561847572855</v>
      </c>
      <c r="AI114" s="61">
        <f>($C$20+$D$20+$E$20+$F$20+$G$20+$H$20+$I$20+$J$20+$K$20)*Table53[[#This Row],[Locality''s Allocation Percentage ]]</f>
        <v>80367.397998152563</v>
      </c>
      <c r="AJ114" s="61">
        <f>($C$21+$D$21+$E$21+$F$21+$G$21+$H$21+$I$21+$J$21+$K$21)*Table53[[#This Row],[Locality''s Allocation Percentage ]]</f>
        <v>80367.397998152563</v>
      </c>
      <c r="AK114" s="61">
        <f>($C$22+$D$22+$E$22+$F$22+$G$22+$H$22+$I$22+$J$22+$K$22)*Table53[[#This Row],[Locality''s Allocation Percentage ]]</f>
        <v>56266.593489743878</v>
      </c>
      <c r="AL114" s="61"/>
      <c r="AM114" s="61"/>
      <c r="AN114" s="61">
        <f>$L$6*Table53[[#This Row],[Locality''s Allocation Percentage ]]</f>
        <v>99110.356861131222</v>
      </c>
      <c r="AO114" s="61">
        <f>$L$7*Table53[[#This Row],[Locality''s Allocation Percentage ]]</f>
        <v>114725.33691381688</v>
      </c>
      <c r="AP114" s="61">
        <f>$L$8*Table53[[#This Row],[Locality''s Allocation Percentage ]]</f>
        <v>44675.673323386014</v>
      </c>
      <c r="AQ114" s="61">
        <f>$L$9*Table53[[#This Row],[Locality''s Allocation Percentage ]]</f>
        <v>49016.265776070388</v>
      </c>
      <c r="AR114" s="61">
        <f>$L$10*Table53[[#This Row],[Locality''s Allocation Percentage ]]</f>
        <v>52219.584286092242</v>
      </c>
      <c r="AS114" s="61">
        <f>$L$11*Table53[[#This Row],[Locality''s Allocation Percentage ]]</f>
        <v>39302.305648788497</v>
      </c>
      <c r="AT114" s="61">
        <f>$L$12*Table53[[#This Row],[Locality''s Allocation Percentage ]]</f>
        <v>55894.862639762439</v>
      </c>
      <c r="AU114" s="61">
        <f>$L$13*Table53[[#This Row],[Locality''s Allocation Percentage ]]</f>
        <v>56230.332961868568</v>
      </c>
      <c r="AV114" s="61">
        <f>$L$14*Table53[[#This Row],[Locality''s Allocation Percentage ]]</f>
        <v>52295.292062794433</v>
      </c>
      <c r="AW114" s="61">
        <f>$L$15*Table53[[#This Row],[Locality''s Allocation Percentage ]]</f>
        <v>48374.555875843958</v>
      </c>
      <c r="AX114" s="61">
        <f>$L$16*Table53[[#This Row],[Locality''s Allocation Percentage ]]</f>
        <v>44296.171120961146</v>
      </c>
      <c r="AY114" s="61">
        <f>$L$17*Table53[[#This Row],[Locality''s Allocation Percentage ]]</f>
        <v>34583.443178801732</v>
      </c>
      <c r="AZ114" s="61">
        <f>$L$18*Table53[[#This Row],[Locality''s Allocation Percentage ]]</f>
        <v>34583.443178801732</v>
      </c>
      <c r="BA114" s="61">
        <f>$L$19*Table53[[#This Row],[Locality''s Allocation Percentage ]]</f>
        <v>34583.443178801732</v>
      </c>
      <c r="BB114" s="61">
        <f>$L$20*Table53[[#This Row],[Locality''s Allocation Percentage ]]</f>
        <v>28584.349767347627</v>
      </c>
      <c r="BC114" s="61">
        <f>$L$21*Table53[[#This Row],[Locality''s Allocation Percentage ]]</f>
        <v>28584.349767347627</v>
      </c>
      <c r="BD114" s="61">
        <f>$L$22*Table53[[#This Row],[Locality''s Allocation Percentage ]]</f>
        <v>20631.084279572755</v>
      </c>
      <c r="BE114" s="61"/>
      <c r="BF114" s="61">
        <f t="shared" si="70"/>
        <v>0</v>
      </c>
      <c r="BG114" s="61">
        <f t="shared" si="70"/>
        <v>24777.589215282806</v>
      </c>
      <c r="BH114" s="61">
        <f t="shared" si="75"/>
        <v>28681.33422845422</v>
      </c>
      <c r="BI114" s="61">
        <f t="shared" si="76"/>
        <v>11168.918330846504</v>
      </c>
      <c r="BJ114" s="61">
        <f t="shared" si="77"/>
        <v>12254.066444017597</v>
      </c>
      <c r="BK114" s="61">
        <f t="shared" si="78"/>
        <v>13054.896071523061</v>
      </c>
      <c r="BL114" s="61">
        <f t="shared" si="79"/>
        <v>9825.5764121971242</v>
      </c>
      <c r="BM114" s="61">
        <f t="shared" si="80"/>
        <v>13973.71565994061</v>
      </c>
      <c r="BN114" s="61">
        <f t="shared" si="81"/>
        <v>14057.583240467142</v>
      </c>
      <c r="BO114" s="61">
        <f t="shared" si="82"/>
        <v>13073.823015698608</v>
      </c>
      <c r="BP114" s="61">
        <f t="shared" si="83"/>
        <v>12093.63896896099</v>
      </c>
      <c r="BQ114" s="61">
        <f t="shared" si="84"/>
        <v>11074.042780240286</v>
      </c>
      <c r="BR114" s="61">
        <f t="shared" si="85"/>
        <v>8645.860794700433</v>
      </c>
      <c r="BS114" s="61">
        <f t="shared" si="86"/>
        <v>8645.860794700433</v>
      </c>
      <c r="BT114" s="61">
        <f t="shared" si="87"/>
        <v>8645.860794700433</v>
      </c>
      <c r="BU114" s="61">
        <f t="shared" si="88"/>
        <v>7146.0874418369067</v>
      </c>
      <c r="BV114" s="61">
        <f t="shared" si="89"/>
        <v>7146.0874418369067</v>
      </c>
      <c r="BW114" s="61">
        <f t="shared" si="74"/>
        <v>5157.7710698931887</v>
      </c>
      <c r="BX114" s="61"/>
      <c r="BY114" s="61">
        <f>($C$6+$D$6+$E$6)*Table53[[#This Row],[Locality''s Allocation Percentage ]]</f>
        <v>273897.13003515895</v>
      </c>
      <c r="BZ114" s="61">
        <f>$L$6*Table53[[#This Row],[Locality''s Allocation Percentage ]]</f>
        <v>99110.356861131222</v>
      </c>
      <c r="CA114" s="61">
        <f t="shared" si="71"/>
        <v>24777.589215282806</v>
      </c>
      <c r="CB114" s="76">
        <f>($C$7+$D$7+$E$7)*Table53[[#This Row],[Locality''s Allocation Percentage ]]</f>
        <v>98777.956006646884</v>
      </c>
      <c r="CC114" s="76">
        <f>$L$7*Table53[[#This Row],[Locality''s Allocation Percentage ]]</f>
        <v>114725.33691381688</v>
      </c>
      <c r="CD114" s="76">
        <f t="shared" si="72"/>
        <v>28681.33422845422</v>
      </c>
    </row>
    <row r="115" spans="16:82" s="19" customFormat="1" ht="18" customHeight="1" x14ac:dyDescent="0.25">
      <c r="P115" s="36" t="s">
        <v>180</v>
      </c>
      <c r="Q115" s="37">
        <v>7.8600786007860107E-3</v>
      </c>
      <c r="S115" s="22" t="s">
        <v>180</v>
      </c>
      <c r="T115" s="61">
        <f>($C$5+$D$5+$E$5+$F$5+$G$5+$H$5+$I$5+$J$5+$K$5)*Table53[[#This Row],[Locality''s Allocation Percentage ]]</f>
        <v>31961.509805696158</v>
      </c>
      <c r="U115" s="61">
        <f>($C$6+$D$6+$E$6+$F$6+$G$6+$H$6+$I$6+$J$6+$K$6)*Table53[[#This Row],[Locality''s Allocation Percentage ]]</f>
        <v>202333.7821500331</v>
      </c>
      <c r="V115" s="61">
        <f>($C$7+$D$7+$E$7+$F$7+$G$7+$H$7+$I$7+$J$7+$K$7)*Table53[[#This Row],[Locality''s Allocation Percentage ]]</f>
        <v>249529.32652553762</v>
      </c>
      <c r="W115" s="61">
        <f>($C$8+$D$8+$E$8+$F$8+$G$8+$H$8+$I$8+$J$8+$K$8)*Table53[[#This Row],[Locality''s Allocation Percentage ]]</f>
        <v>95693.944314244916</v>
      </c>
      <c r="X115" s="61">
        <f>($C$9+$D$9+$E$9+$F$9+$G$9+$H$9+$I$9+$J$9+$K$9)*Table53[[#This Row],[Locality''s Allocation Percentage ]]</f>
        <v>102829.32725326015</v>
      </c>
      <c r="Y115" s="61">
        <f>($C$10+$D$10+$E$10+$F$10+$G$10+$H$10+$I$10+$J$10+$K$10)*Table53[[#This Row],[Locality''s Allocation Percentage ]]</f>
        <v>109283.03969911759</v>
      </c>
      <c r="Z115" s="61">
        <f>($C$11+$D$11+$E$11+$F$11+$G$11+$H$11+$I$11+$J$11+$K$11)*Table53[[#This Row],[Locality''s Allocation Percentage ]]</f>
        <v>83258.652287324832</v>
      </c>
      <c r="AA115" s="61">
        <f>($C$12+$D$12+$E$12+$F$12+$G$12+$H$12+$I$12+$J$12+$K$12)*Table53[[#This Row],[Locality''s Allocation Percentage ]]</f>
        <v>116687.60767412985</v>
      </c>
      <c r="AB115" s="61">
        <f>($C$13+$D$13+$E$13+$F$13+$G$13+$H$13+$I$13+$J$13+$K$13)*Table53[[#This Row],[Locality''s Allocation Percentage ]]</f>
        <v>117218.52876315656</v>
      </c>
      <c r="AC115" s="61">
        <f>($C$14+$D$14+$E$14+$F$14+$G$14+$H$14+$I$14+$J$14+$K$14)*Table53[[#This Row],[Locality''s Allocation Percentage ]]</f>
        <v>109750.87860348789</v>
      </c>
      <c r="AD115" s="61">
        <f>($C$15+$D$15+$E$15+$F$15+$G$15+$H$15+$I$15+$J$15+$K$15)*Table53[[#This Row],[Locality''s Allocation Percentage ]]</f>
        <v>101849.48733599807</v>
      </c>
      <c r="AE115" s="61">
        <f>($C$16+$D$16+$E$16+$F$16+$G$16+$H$16+$I$16+$J$16+$K$16)*Table53[[#This Row],[Locality''s Allocation Percentage ]]</f>
        <v>93632.782575220845</v>
      </c>
      <c r="AF115" s="61">
        <f>($C$17+$D$17+$E$17+$F$17+$G$17+$H$17+$I$17+$J$17+$K$17)*Table53[[#This Row],[Locality''s Allocation Percentage ]]</f>
        <v>71455.497755819903</v>
      </c>
      <c r="AG115" s="61">
        <f>($C$18+$D$18+$E$18+$F$18+$G$18+$H$18+$I$18+$J$18+$K$18)*Table53[[#This Row],[Locality''s Allocation Percentage ]]</f>
        <v>71455.497755819903</v>
      </c>
      <c r="AH115" s="61">
        <f>($C$19+$D$19+$E$19+$F$19+$G$19+$H$19+$I$19+$J$19+$K$19)*Table53[[#This Row],[Locality''s Allocation Percentage ]]</f>
        <v>71455.497755819903</v>
      </c>
      <c r="AI115" s="61">
        <f>($C$20+$D$20+$E$20+$F$20+$G$20+$H$20+$I$20+$J$20+$K$20)*Table53[[#This Row],[Locality''s Allocation Percentage ]]</f>
        <v>59369.149273071438</v>
      </c>
      <c r="AJ115" s="61">
        <f>($C$21+$D$21+$E$21+$F$21+$G$21+$H$21+$I$21+$J$21+$K$21)*Table53[[#This Row],[Locality''s Allocation Percentage ]]</f>
        <v>59369.149273071438</v>
      </c>
      <c r="AK115" s="61">
        <f>($C$22+$D$22+$E$22+$F$22+$G$22+$H$22+$I$22+$J$22+$K$22)*Table53[[#This Row],[Locality''s Allocation Percentage ]]</f>
        <v>41565.359476446196</v>
      </c>
      <c r="AL115" s="61"/>
      <c r="AM115" s="61"/>
      <c r="AN115" s="61">
        <f>$L$6*Table53[[#This Row],[Locality''s Allocation Percentage ]]</f>
        <v>73214.981666211708</v>
      </c>
      <c r="AO115" s="61">
        <f>$L$7*Table53[[#This Row],[Locality''s Allocation Percentage ]]</f>
        <v>84750.107908139282</v>
      </c>
      <c r="AP115" s="61">
        <f>$L$8*Table53[[#This Row],[Locality''s Allocation Percentage ]]</f>
        <v>33002.894015208141</v>
      </c>
      <c r="AQ115" s="61">
        <f>$L$9*Table53[[#This Row],[Locality''s Allocation Percentage ]]</f>
        <v>36209.384304503175</v>
      </c>
      <c r="AR115" s="61">
        <f>$L$10*Table53[[#This Row],[Locality''s Allocation Percentage ]]</f>
        <v>38575.745534650901</v>
      </c>
      <c r="AS115" s="61">
        <f>$L$11*Table53[[#This Row],[Locality''s Allocation Percentage ]]</f>
        <v>29033.470150326884</v>
      </c>
      <c r="AT115" s="61">
        <f>$L$12*Table53[[#This Row],[Locality''s Allocation Percentage ]]</f>
        <v>41290.753792155396</v>
      </c>
      <c r="AU115" s="61">
        <f>$L$13*Table53[[#This Row],[Locality''s Allocation Percentage ]]</f>
        <v>41538.573033861612</v>
      </c>
      <c r="AV115" s="61">
        <f>$L$14*Table53[[#This Row],[Locality''s Allocation Percentage ]]</f>
        <v>38631.672520071879</v>
      </c>
      <c r="AW115" s="61">
        <f>$L$15*Table53[[#This Row],[Locality''s Allocation Percentage ]]</f>
        <v>35735.339209035155</v>
      </c>
      <c r="AX115" s="61">
        <f>$L$16*Table53[[#This Row],[Locality''s Allocation Percentage ]]</f>
        <v>32722.547463416831</v>
      </c>
      <c r="AY115" s="61">
        <f>$L$17*Table53[[#This Row],[Locality''s Allocation Percentage ]]</f>
        <v>25547.543551257706</v>
      </c>
      <c r="AZ115" s="61">
        <f>$L$18*Table53[[#This Row],[Locality''s Allocation Percentage ]]</f>
        <v>25547.543551257706</v>
      </c>
      <c r="BA115" s="61">
        <f>$L$19*Table53[[#This Row],[Locality''s Allocation Percentage ]]</f>
        <v>25547.543551257706</v>
      </c>
      <c r="BB115" s="61">
        <f>$L$20*Table53[[#This Row],[Locality''s Allocation Percentage ]]</f>
        <v>21115.882440916601</v>
      </c>
      <c r="BC115" s="61">
        <f>$L$21*Table53[[#This Row],[Locality''s Allocation Percentage ]]</f>
        <v>21115.882440916601</v>
      </c>
      <c r="BD115" s="61">
        <f>$L$22*Table53[[#This Row],[Locality''s Allocation Percentage ]]</f>
        <v>15240.63180803027</v>
      </c>
      <c r="BE115" s="61"/>
      <c r="BF115" s="61">
        <f t="shared" si="70"/>
        <v>0</v>
      </c>
      <c r="BG115" s="61">
        <f t="shared" si="70"/>
        <v>18303.745416552927</v>
      </c>
      <c r="BH115" s="61">
        <f t="shared" si="75"/>
        <v>21187.52697703482</v>
      </c>
      <c r="BI115" s="61">
        <f t="shared" si="76"/>
        <v>8250.7235038020353</v>
      </c>
      <c r="BJ115" s="61">
        <f t="shared" si="77"/>
        <v>9052.3460761257938</v>
      </c>
      <c r="BK115" s="61">
        <f t="shared" si="78"/>
        <v>9643.9363836627253</v>
      </c>
      <c r="BL115" s="61">
        <f t="shared" si="79"/>
        <v>7258.3675375817211</v>
      </c>
      <c r="BM115" s="61">
        <f t="shared" si="80"/>
        <v>10322.688448038849</v>
      </c>
      <c r="BN115" s="61">
        <f t="shared" si="81"/>
        <v>10384.643258465403</v>
      </c>
      <c r="BO115" s="61">
        <f t="shared" si="82"/>
        <v>9657.9181300179698</v>
      </c>
      <c r="BP115" s="61">
        <f t="shared" si="83"/>
        <v>8933.8348022587888</v>
      </c>
      <c r="BQ115" s="61">
        <f t="shared" si="84"/>
        <v>8180.6368658542078</v>
      </c>
      <c r="BR115" s="61">
        <f t="shared" si="85"/>
        <v>6386.8858878144265</v>
      </c>
      <c r="BS115" s="61">
        <f t="shared" si="86"/>
        <v>6386.8858878144265</v>
      </c>
      <c r="BT115" s="61">
        <f t="shared" si="87"/>
        <v>6386.8858878144265</v>
      </c>
      <c r="BU115" s="61">
        <f t="shared" si="88"/>
        <v>5278.9706102291502</v>
      </c>
      <c r="BV115" s="61">
        <f t="shared" si="89"/>
        <v>5278.9706102291502</v>
      </c>
      <c r="BW115" s="61">
        <f t="shared" si="74"/>
        <v>3810.1579520075675</v>
      </c>
      <c r="BX115" s="61"/>
      <c r="BY115" s="61">
        <f>($C$6+$D$6+$E$6)*Table53[[#This Row],[Locality''s Allocation Percentage ]]</f>
        <v>202333.7821500331</v>
      </c>
      <c r="BZ115" s="61">
        <f>$L$6*Table53[[#This Row],[Locality''s Allocation Percentage ]]</f>
        <v>73214.981666211708</v>
      </c>
      <c r="CA115" s="61">
        <f t="shared" si="71"/>
        <v>18303.745416552927</v>
      </c>
      <c r="CB115" s="76">
        <f>($C$7+$D$7+$E$7)*Table53[[#This Row],[Locality''s Allocation Percentage ]]</f>
        <v>72969.429907165948</v>
      </c>
      <c r="CC115" s="76">
        <f>$L$7*Table53[[#This Row],[Locality''s Allocation Percentage ]]</f>
        <v>84750.107908139282</v>
      </c>
      <c r="CD115" s="76">
        <f t="shared" si="72"/>
        <v>21187.52697703482</v>
      </c>
    </row>
    <row r="116" spans="16:82" s="19" customFormat="1" ht="18" customHeight="1" x14ac:dyDescent="0.25">
      <c r="P116" s="36" t="s">
        <v>302</v>
      </c>
      <c r="Q116" s="37">
        <v>4.2100421004210003E-3</v>
      </c>
      <c r="S116" s="22" t="s">
        <v>181</v>
      </c>
      <c r="T116" s="61">
        <f>($C$5+$D$5+$E$5+$F$5+$G$5+$H$5+$I$5+$J$5+$K$5)*Table53[[#This Row],[Locality''s Allocation Percentage ]]</f>
        <v>17119.332860302882</v>
      </c>
      <c r="U116" s="61">
        <f>($C$6+$D$6+$E$6+$F$6+$G$6+$H$6+$I$6+$J$6+$K$6)*Table53[[#This Row],[Locality''s Allocation Percentage ]]</f>
        <v>108374.71028646798</v>
      </c>
      <c r="V116" s="61">
        <f>($C$7+$D$7+$E$7+$F$7+$G$7+$H$7+$I$7+$J$7+$K$7)*Table53[[#This Row],[Locality''s Allocation Percentage ]]</f>
        <v>133653.74868607023</v>
      </c>
      <c r="W116" s="61">
        <f>($C$8+$D$8+$E$8+$F$8+$G$8+$H$8+$I$8+$J$8+$K$8)*Table53[[#This Row],[Locality''s Allocation Percentage ]]</f>
        <v>51255.916738291424</v>
      </c>
      <c r="X116" s="61">
        <f>($C$9+$D$9+$E$9+$F$9+$G$9+$H$9+$I$9+$J$9+$K$9)*Table53[[#This Row],[Locality''s Allocation Percentage ]]</f>
        <v>55077.794877382279</v>
      </c>
      <c r="Y116" s="61">
        <f>($C$10+$D$10+$E$10+$F$10+$G$10+$H$10+$I$10+$J$10+$K$10)*Table53[[#This Row],[Locality''s Allocation Percentage ]]</f>
        <v>58534.554342657058</v>
      </c>
      <c r="Z116" s="61">
        <f>($C$11+$D$11+$E$11+$F$11+$G$11+$H$11+$I$11+$J$11+$K$11)*Table53[[#This Row],[Locality''s Allocation Percentage ]]</f>
        <v>44595.283222600134</v>
      </c>
      <c r="AA116" s="61">
        <f>($C$12+$D$12+$E$12+$F$12+$G$12+$H$12+$I$12+$J$12+$K$12)*Table53[[#This Row],[Locality''s Allocation Percentage ]]</f>
        <v>62500.614288560559</v>
      </c>
      <c r="AB116" s="61">
        <f>($C$13+$D$13+$E$13+$F$13+$G$13+$H$13+$I$13+$J$13+$K$13)*Table53[[#This Row],[Locality''s Allocation Percentage ]]</f>
        <v>62784.988052530345</v>
      </c>
      <c r="AC116" s="61">
        <f>($C$14+$D$14+$E$14+$F$14+$G$14+$H$14+$I$14+$J$14+$K$14)*Table53[[#This Row],[Locality''s Allocation Percentage ]]</f>
        <v>58785.139811791785</v>
      </c>
      <c r="AD116" s="61">
        <f>($C$15+$D$15+$E$15+$F$15+$G$15+$H$15+$I$15+$J$15+$K$15)*Table53[[#This Row],[Locality''s Allocation Percentage ]]</f>
        <v>54552.969679968366</v>
      </c>
      <c r="AE116" s="61">
        <f>($C$16+$D$16+$E$16+$F$16+$G$16+$H$16+$I$16+$J$16+$K$16)*Table53[[#This Row],[Locality''s Allocation Percentage ]]</f>
        <v>50151.910259755627</v>
      </c>
      <c r="AF116" s="61">
        <f>($C$17+$D$17+$E$17+$F$17+$G$17+$H$17+$I$17+$J$17+$K$17)*Table53[[#This Row],[Locality''s Allocation Percentage ]]</f>
        <v>38273.237347582872</v>
      </c>
      <c r="AG116" s="61">
        <f>($C$18+$D$18+$E$18+$F$18+$G$18+$H$18+$I$18+$J$18+$K$18)*Table53[[#This Row],[Locality''s Allocation Percentage ]]</f>
        <v>38273.237347582872</v>
      </c>
      <c r="AH116" s="61">
        <f>($C$19+$D$19+$E$19+$F$19+$G$19+$H$19+$I$19+$J$19+$K$19)*Table53[[#This Row],[Locality''s Allocation Percentage ]]</f>
        <v>38273.237347582872</v>
      </c>
      <c r="AI116" s="61">
        <f>($C$20+$D$20+$E$20+$F$20+$G$20+$H$20+$I$20+$J$20+$K$20)*Table53[[#This Row],[Locality''s Allocation Percentage ]]</f>
        <v>31799.506162802852</v>
      </c>
      <c r="AJ116" s="61">
        <f>($C$21+$D$21+$E$21+$F$21+$G$21+$H$21+$I$21+$J$21+$K$21)*Table53[[#This Row],[Locality''s Allocation Percentage ]]</f>
        <v>31799.506162802852</v>
      </c>
      <c r="AK116" s="61">
        <f>($C$22+$D$22+$E$22+$F$22+$G$22+$H$22+$I$22+$J$22+$K$22)*Table53[[#This Row],[Locality''s Allocation Percentage ]]</f>
        <v>22263.379566900541</v>
      </c>
      <c r="AL116" s="61"/>
      <c r="AM116" s="61"/>
      <c r="AN116" s="61">
        <f>$L$6*Table53[[#This Row],[Locality''s Allocation Percentage ]]</f>
        <v>39215.65811892505</v>
      </c>
      <c r="AO116" s="61">
        <f>$L$7*Table53[[#This Row],[Locality''s Allocation Percentage ]]</f>
        <v>45394.141767591085</v>
      </c>
      <c r="AP116" s="61">
        <f>$L$8*Table53[[#This Row],[Locality''s Allocation Percentage ]]</f>
        <v>17677.122621377363</v>
      </c>
      <c r="AQ116" s="61">
        <f>$L$9*Table53[[#This Row],[Locality''s Allocation Percentage ]]</f>
        <v>19394.593883200785</v>
      </c>
      <c r="AR116" s="61">
        <f>$L$10*Table53[[#This Row],[Locality''s Allocation Percentage ]]</f>
        <v>20662.072353801537</v>
      </c>
      <c r="AS116" s="61">
        <f>$L$11*Table53[[#This Row],[Locality''s Allocation Percentage ]]</f>
        <v>15551.00627644733</v>
      </c>
      <c r="AT116" s="61">
        <f>$L$12*Table53[[#This Row],[Locality''s Allocation Percentage ]]</f>
        <v>22116.294333966154</v>
      </c>
      <c r="AU116" s="61">
        <f>$L$13*Table53[[#This Row],[Locality''s Allocation Percentage ]]</f>
        <v>22249.032121190477</v>
      </c>
      <c r="AV116" s="61">
        <f>$L$14*Table53[[#This Row],[Locality''s Allocation Percentage ]]</f>
        <v>20692.028156425244</v>
      </c>
      <c r="AW116" s="61">
        <f>$L$15*Table53[[#This Row],[Locality''s Allocation Percentage ]]</f>
        <v>19140.684232829237</v>
      </c>
      <c r="AX116" s="61">
        <f>$L$16*Table53[[#This Row],[Locality''s Allocation Percentage ]]</f>
        <v>17526.962445417899</v>
      </c>
      <c r="AY116" s="61">
        <f>$L$17*Table53[[#This Row],[Locality''s Allocation Percentage ]]</f>
        <v>13683.862385597304</v>
      </c>
      <c r="AZ116" s="61">
        <f>$L$18*Table53[[#This Row],[Locality''s Allocation Percentage ]]</f>
        <v>13683.862385597304</v>
      </c>
      <c r="BA116" s="61">
        <f>$L$19*Table53[[#This Row],[Locality''s Allocation Percentage ]]</f>
        <v>13683.862385597304</v>
      </c>
      <c r="BB116" s="61">
        <f>$L$20*Table53[[#This Row],[Locality''s Allocation Percentage ]]</f>
        <v>11310.160951177962</v>
      </c>
      <c r="BC116" s="61">
        <f>$L$21*Table53[[#This Row],[Locality''s Allocation Percentage ]]</f>
        <v>11310.160951177962</v>
      </c>
      <c r="BD116" s="61">
        <f>$L$22*Table53[[#This Row],[Locality''s Allocation Percentage ]]</f>
        <v>8163.2391745301975</v>
      </c>
      <c r="BE116" s="61"/>
      <c r="BF116" s="61">
        <f t="shared" si="70"/>
        <v>0</v>
      </c>
      <c r="BG116" s="61">
        <f t="shared" si="70"/>
        <v>9803.9145297312625</v>
      </c>
      <c r="BH116" s="61">
        <f t="shared" si="75"/>
        <v>11348.535441897771</v>
      </c>
      <c r="BI116" s="61">
        <f t="shared" si="76"/>
        <v>4419.2806553443406</v>
      </c>
      <c r="BJ116" s="61">
        <f t="shared" si="77"/>
        <v>4848.6484708001963</v>
      </c>
      <c r="BK116" s="61">
        <f t="shared" si="78"/>
        <v>5165.5180884503843</v>
      </c>
      <c r="BL116" s="61">
        <f t="shared" si="79"/>
        <v>3887.7515691118324</v>
      </c>
      <c r="BM116" s="61">
        <f t="shared" si="80"/>
        <v>5529.0735834915386</v>
      </c>
      <c r="BN116" s="61">
        <f t="shared" si="81"/>
        <v>5562.2580302976194</v>
      </c>
      <c r="BO116" s="61">
        <f t="shared" si="82"/>
        <v>5173.0070391063109</v>
      </c>
      <c r="BP116" s="61">
        <f t="shared" si="83"/>
        <v>4785.1710582073092</v>
      </c>
      <c r="BQ116" s="61">
        <f t="shared" si="84"/>
        <v>4381.7406113544748</v>
      </c>
      <c r="BR116" s="61">
        <f t="shared" si="85"/>
        <v>3420.9655963993259</v>
      </c>
      <c r="BS116" s="61">
        <f t="shared" si="86"/>
        <v>3420.9655963993259</v>
      </c>
      <c r="BT116" s="61">
        <f t="shared" si="87"/>
        <v>3420.9655963993259</v>
      </c>
      <c r="BU116" s="61">
        <f t="shared" si="88"/>
        <v>2827.5402377944906</v>
      </c>
      <c r="BV116" s="61">
        <f t="shared" si="89"/>
        <v>2827.5402377944906</v>
      </c>
      <c r="BW116" s="61">
        <f t="shared" si="74"/>
        <v>2040.8097936325494</v>
      </c>
      <c r="BX116" s="61"/>
      <c r="BY116" s="61">
        <f>($C$6+$D$6+$E$6)*Table53[[#This Row],[Locality''s Allocation Percentage ]]</f>
        <v>108374.71028646798</v>
      </c>
      <c r="BZ116" s="61">
        <f>$L$6*Table53[[#This Row],[Locality''s Allocation Percentage ]]</f>
        <v>39215.65811892505</v>
      </c>
      <c r="CA116" s="61">
        <f t="shared" si="71"/>
        <v>9803.9145297312625</v>
      </c>
      <c r="CB116" s="76">
        <f>($C$7+$D$7+$E$7)*Table53[[#This Row],[Locality''s Allocation Percentage ]]</f>
        <v>39084.134848494687</v>
      </c>
      <c r="CC116" s="76">
        <f>$L$7*Table53[[#This Row],[Locality''s Allocation Percentage ]]</f>
        <v>45394.141767591085</v>
      </c>
      <c r="CD116" s="76">
        <f t="shared" si="72"/>
        <v>11348.535441897771</v>
      </c>
    </row>
    <row r="117" spans="16:82" s="19" customFormat="1" ht="18" customHeight="1" x14ac:dyDescent="0.25">
      <c r="P117" s="36" t="s">
        <v>303</v>
      </c>
      <c r="Q117" s="37">
        <v>6.6000660006600102E-3</v>
      </c>
      <c r="S117" s="22" t="s">
        <v>182</v>
      </c>
      <c r="T117" s="61">
        <f>($C$5+$D$5+$E$5+$F$5+$G$5+$H$5+$I$5+$J$5+$K$5)*Table53[[#This Row],[Locality''s Allocation Percentage ]]</f>
        <v>26837.90899714945</v>
      </c>
      <c r="U117" s="61">
        <f>($C$6+$D$6+$E$6+$F$6+$G$6+$H$6+$I$6+$J$6+$K$6)*Table53[[#This Row],[Locality''s Allocation Percentage ]]</f>
        <v>169898.5956985011</v>
      </c>
      <c r="V117" s="61">
        <f>($C$7+$D$7+$E$7+$F$7+$G$7+$H$7+$I$7+$J$7+$K$7)*Table53[[#This Row],[Locality''s Allocation Percentage ]]</f>
        <v>209528.44212068047</v>
      </c>
      <c r="W117" s="61">
        <f>($C$8+$D$8+$E$8+$F$8+$G$8+$H$8+$I$8+$J$8+$K$8)*Table53[[#This Row],[Locality''s Allocation Percentage ]]</f>
        <v>80353.693698984294</v>
      </c>
      <c r="X117" s="61">
        <f>($C$9+$D$9+$E$9+$F$9+$G$9+$H$9+$I$9+$J$9+$K$9)*Table53[[#This Row],[Locality''s Allocation Percentage ]]</f>
        <v>86345.23662487496</v>
      </c>
      <c r="Y117" s="61">
        <f>($C$10+$D$10+$E$10+$F$10+$G$10+$H$10+$I$10+$J$10+$K$10)*Table53[[#This Row],[Locality''s Allocation Percentage ]]</f>
        <v>91764.384480175097</v>
      </c>
      <c r="Z117" s="61">
        <f>($C$11+$D$11+$E$11+$F$11+$G$11+$H$11+$I$11+$J$11+$K$11)*Table53[[#This Row],[Locality''s Allocation Percentage ]]</f>
        <v>69911.845432104834</v>
      </c>
      <c r="AA117" s="61">
        <f>($C$12+$D$12+$E$12+$F$12+$G$12+$H$12+$I$12+$J$12+$K$12)*Table53[[#This Row],[Locality''s Allocation Percentage ]]</f>
        <v>97981.960642399121</v>
      </c>
      <c r="AB117" s="61">
        <f>($C$13+$D$13+$E$13+$F$13+$G$13+$H$13+$I$13+$J$13+$K$13)*Table53[[#This Row],[Locality''s Allocation Percentage ]]</f>
        <v>98427.772243871936</v>
      </c>
      <c r="AC117" s="61">
        <f>($C$14+$D$14+$E$14+$F$14+$G$14+$H$14+$I$14+$J$14+$K$14)*Table53[[#This Row],[Locality''s Allocation Percentage ]]</f>
        <v>92157.226308272293</v>
      </c>
      <c r="AD117" s="61">
        <f>($C$15+$D$15+$E$15+$F$15+$G$15+$H$15+$I$15+$J$15+$K$15)*Table53[[#This Row],[Locality''s Allocation Percentage ]]</f>
        <v>85522.470282135808</v>
      </c>
      <c r="AE117" s="61">
        <f>($C$16+$D$16+$E$16+$F$16+$G$16+$H$16+$I$16+$J$16+$K$16)*Table53[[#This Row],[Locality''s Allocation Percentage ]]</f>
        <v>78622.947200567127</v>
      </c>
      <c r="AF117" s="61">
        <f>($C$17+$D$17+$E$17+$F$17+$G$17+$H$17+$I$17+$J$17+$K$17)*Table53[[#This Row],[Locality''s Allocation Percentage ]]</f>
        <v>60000.799642291531</v>
      </c>
      <c r="AG117" s="61">
        <f>($C$18+$D$18+$E$18+$F$18+$G$18+$H$18+$I$18+$J$18+$K$18)*Table53[[#This Row],[Locality''s Allocation Percentage ]]</f>
        <v>60000.799642291531</v>
      </c>
      <c r="AH117" s="61">
        <f>($C$19+$D$19+$E$19+$F$19+$G$19+$H$19+$I$19+$J$19+$K$19)*Table53[[#This Row],[Locality''s Allocation Percentage ]]</f>
        <v>60000.799642291531</v>
      </c>
      <c r="AI117" s="61">
        <f>($C$20+$D$20+$E$20+$F$20+$G$20+$H$20+$I$20+$J$20+$K$20)*Table53[[#This Row],[Locality''s Allocation Percentage ]]</f>
        <v>49851.95740486915</v>
      </c>
      <c r="AJ117" s="61">
        <f>($C$21+$D$21+$E$21+$F$21+$G$21+$H$21+$I$21+$J$21+$K$21)*Table53[[#This Row],[Locality''s Allocation Percentage ]]</f>
        <v>49851.95740486915</v>
      </c>
      <c r="AK117" s="61">
        <f>($C$22+$D$22+$E$22+$F$22+$G$22+$H$22+$I$22+$J$22+$K$22)*Table53[[#This Row],[Locality''s Allocation Percentage ]]</f>
        <v>34902.210247397576</v>
      </c>
      <c r="AL117" s="61"/>
      <c r="AM117" s="61"/>
      <c r="AN117" s="61">
        <f>$L$6*Table53[[#This Row],[Locality''s Allocation Percentage ]]</f>
        <v>61478.228880025104</v>
      </c>
      <c r="AO117" s="61">
        <f>$L$7*Table53[[#This Row],[Locality''s Allocation Percentage ]]</f>
        <v>71164.212747292535</v>
      </c>
      <c r="AP117" s="61">
        <f>$L$8*Table53[[#This Row],[Locality''s Allocation Percentage ]]</f>
        <v>27712.353753228213</v>
      </c>
      <c r="AQ117" s="61">
        <f>$L$9*Table53[[#This Row],[Locality''s Allocation Percentage ]]</f>
        <v>30404.826515231682</v>
      </c>
      <c r="AR117" s="61">
        <f>$L$10*Table53[[#This Row],[Locality''s Allocation Percentage ]]</f>
        <v>32391.847395508397</v>
      </c>
      <c r="AS117" s="61">
        <f>$L$11*Table53[[#This Row],[Locality''s Allocation Percentage ]]</f>
        <v>24379.249744549295</v>
      </c>
      <c r="AT117" s="61">
        <f>$L$12*Table53[[#This Row],[Locality''s Allocation Percentage ]]</f>
        <v>34671.625321657208</v>
      </c>
      <c r="AU117" s="61">
        <f>$L$13*Table53[[#This Row],[Locality''s Allocation Percentage ]]</f>
        <v>34879.717814692965</v>
      </c>
      <c r="AV117" s="61">
        <f>$L$14*Table53[[#This Row],[Locality''s Allocation Percentage ]]</f>
        <v>32438.808986319906</v>
      </c>
      <c r="AW117" s="61">
        <f>$L$15*Table53[[#This Row],[Locality''s Allocation Percentage ]]</f>
        <v>30006.773381632578</v>
      </c>
      <c r="AX117" s="61">
        <f>$L$16*Table53[[#This Row],[Locality''s Allocation Percentage ]]</f>
        <v>27476.948251724061</v>
      </c>
      <c r="AY117" s="61">
        <f>$L$17*Table53[[#This Row],[Locality''s Allocation Percentage ]]</f>
        <v>21452.135806399605</v>
      </c>
      <c r="AZ117" s="61">
        <f>$L$18*Table53[[#This Row],[Locality''s Allocation Percentage ]]</f>
        <v>21452.135806399605</v>
      </c>
      <c r="BA117" s="61">
        <f>$L$19*Table53[[#This Row],[Locality''s Allocation Percentage ]]</f>
        <v>21452.135806399605</v>
      </c>
      <c r="BB117" s="61">
        <f>$L$20*Table53[[#This Row],[Locality''s Allocation Percentage ]]</f>
        <v>17730.893652678067</v>
      </c>
      <c r="BC117" s="61">
        <f>$L$21*Table53[[#This Row],[Locality''s Allocation Percentage ]]</f>
        <v>17730.893652678067</v>
      </c>
      <c r="BD117" s="61">
        <f>$L$22*Table53[[#This Row],[Locality''s Allocation Percentage ]]</f>
        <v>12797.477090712444</v>
      </c>
      <c r="BE117" s="61"/>
      <c r="BF117" s="61">
        <f t="shared" si="70"/>
        <v>0</v>
      </c>
      <c r="BG117" s="61">
        <f t="shared" si="70"/>
        <v>15369.557220006276</v>
      </c>
      <c r="BH117" s="61">
        <f t="shared" si="75"/>
        <v>17791.053186823134</v>
      </c>
      <c r="BI117" s="61">
        <f t="shared" si="76"/>
        <v>6928.0884383070534</v>
      </c>
      <c r="BJ117" s="61">
        <f t="shared" si="77"/>
        <v>7601.2066288079204</v>
      </c>
      <c r="BK117" s="61">
        <f t="shared" si="78"/>
        <v>8097.9618488770993</v>
      </c>
      <c r="BL117" s="61">
        <f t="shared" si="79"/>
        <v>6094.8124361373239</v>
      </c>
      <c r="BM117" s="61">
        <f t="shared" si="80"/>
        <v>8667.9063304143019</v>
      </c>
      <c r="BN117" s="61">
        <f t="shared" si="81"/>
        <v>8719.9294536732414</v>
      </c>
      <c r="BO117" s="61">
        <f t="shared" si="82"/>
        <v>8109.7022465799764</v>
      </c>
      <c r="BP117" s="61">
        <f t="shared" si="83"/>
        <v>7501.6933454081445</v>
      </c>
      <c r="BQ117" s="61">
        <f t="shared" si="84"/>
        <v>6869.2370629310153</v>
      </c>
      <c r="BR117" s="61">
        <f t="shared" si="85"/>
        <v>5363.0339515999012</v>
      </c>
      <c r="BS117" s="61">
        <f t="shared" si="86"/>
        <v>5363.0339515999012</v>
      </c>
      <c r="BT117" s="61">
        <f t="shared" si="87"/>
        <v>5363.0339515999012</v>
      </c>
      <c r="BU117" s="61">
        <f t="shared" si="88"/>
        <v>4432.7234131695168</v>
      </c>
      <c r="BV117" s="61">
        <f t="shared" si="89"/>
        <v>4432.7234131695168</v>
      </c>
      <c r="BW117" s="61">
        <f t="shared" si="74"/>
        <v>3199.369272678111</v>
      </c>
      <c r="BX117" s="61"/>
      <c r="BY117" s="61">
        <f>($C$6+$D$6+$E$6)*Table53[[#This Row],[Locality''s Allocation Percentage ]]</f>
        <v>169898.5956985011</v>
      </c>
      <c r="BZ117" s="61">
        <f>$L$6*Table53[[#This Row],[Locality''s Allocation Percentage ]]</f>
        <v>61478.228880025104</v>
      </c>
      <c r="CA117" s="61">
        <f t="shared" si="71"/>
        <v>15369.557220006276</v>
      </c>
      <c r="CB117" s="76">
        <f>($C$7+$D$7+$E$7)*Table53[[#This Row],[Locality''s Allocation Percentage ]]</f>
        <v>61272.040380063016</v>
      </c>
      <c r="CC117" s="76">
        <f>$L$7*Table53[[#This Row],[Locality''s Allocation Percentage ]]</f>
        <v>71164.212747292535</v>
      </c>
      <c r="CD117" s="76">
        <f t="shared" si="72"/>
        <v>17791.053186823134</v>
      </c>
    </row>
    <row r="118" spans="16:82" s="19" customFormat="1" ht="18" customHeight="1" x14ac:dyDescent="0.25">
      <c r="P118" s="36" t="s">
        <v>304</v>
      </c>
      <c r="Q118" s="37">
        <v>5.9200592005920101E-3</v>
      </c>
      <c r="S118" s="22" t="s">
        <v>183</v>
      </c>
      <c r="T118" s="61">
        <f>($C$5+$D$5+$E$5+$F$5+$G$5+$H$5+$I$5+$J$5+$K$5)*Table53[[#This Row],[Locality''s Allocation Percentage ]]</f>
        <v>24072.791100473449</v>
      </c>
      <c r="U118" s="61">
        <f>($C$6+$D$6+$E$6+$F$6+$G$6+$H$6+$I$6+$J$6+$K$6)*Table53[[#This Row],[Locality''s Allocation Percentage ]]</f>
        <v>152393.89189926162</v>
      </c>
      <c r="V118" s="61">
        <f>($C$7+$D$7+$E$7+$F$7+$G$7+$H$7+$I$7+$J$7+$K$7)*Table53[[#This Row],[Locality''s Allocation Percentage ]]</f>
        <v>187940.66323551949</v>
      </c>
      <c r="W118" s="61">
        <f>($C$8+$D$8+$E$8+$F$8+$G$8+$H$8+$I$8+$J$8+$K$8)*Table53[[#This Row],[Locality''s Allocation Percentage ]]</f>
        <v>72074.828287573808</v>
      </c>
      <c r="X118" s="61">
        <f>($C$9+$D$9+$E$9+$F$9+$G$9+$H$9+$I$9+$J$9+$K$9)*Table53[[#This Row],[Locality''s Allocation Percentage ]]</f>
        <v>77449.060730190889</v>
      </c>
      <c r="Y118" s="61">
        <f>($C$10+$D$10+$E$10+$F$10+$G$10+$H$10+$I$10+$J$10+$K$10)*Table53[[#This Row],[Locality''s Allocation Percentage ]]</f>
        <v>82309.872139793428</v>
      </c>
      <c r="Z118" s="61">
        <f>($C$11+$D$11+$E$11+$F$11+$G$11+$H$11+$I$11+$J$11+$K$11)*Table53[[#This Row],[Locality''s Allocation Percentage ]]</f>
        <v>62708.806811827373</v>
      </c>
      <c r="AA118" s="61">
        <f>($C$12+$D$12+$E$12+$F$12+$G$12+$H$12+$I$12+$J$12+$K$12)*Table53[[#This Row],[Locality''s Allocation Percentage ]]</f>
        <v>87886.849545909528</v>
      </c>
      <c r="AB118" s="61">
        <f>($C$13+$D$13+$E$13+$F$13+$G$13+$H$13+$I$13+$J$13+$K$13)*Table53[[#This Row],[Locality''s Allocation Percentage ]]</f>
        <v>88286.729042988183</v>
      </c>
      <c r="AC118" s="61">
        <f>($C$14+$D$14+$E$14+$F$14+$G$14+$H$14+$I$14+$J$14+$K$14)*Table53[[#This Row],[Locality''s Allocation Percentage ]]</f>
        <v>82662.239355298792</v>
      </c>
      <c r="AD118" s="61">
        <f>($C$15+$D$15+$E$15+$F$15+$G$15+$H$15+$I$15+$J$15+$K$15)*Table53[[#This Row],[Locality''s Allocation Percentage ]]</f>
        <v>76711.064253067278</v>
      </c>
      <c r="AE118" s="61">
        <f>($C$16+$D$16+$E$16+$F$16+$G$16+$H$16+$I$16+$J$16+$K$16)*Table53[[#This Row],[Locality''s Allocation Percentage ]]</f>
        <v>70522.401125357195</v>
      </c>
      <c r="AF118" s="61">
        <f>($C$17+$D$17+$E$17+$F$17+$G$17+$H$17+$I$17+$J$17+$K$17)*Table53[[#This Row],[Locality''s Allocation Percentage ]]</f>
        <v>53818.899073085748</v>
      </c>
      <c r="AG118" s="61">
        <f>($C$18+$D$18+$E$18+$F$18+$G$18+$H$18+$I$18+$J$18+$K$18)*Table53[[#This Row],[Locality''s Allocation Percentage ]]</f>
        <v>53818.899073085748</v>
      </c>
      <c r="AH118" s="61">
        <f>($C$19+$D$19+$E$19+$F$19+$G$19+$H$19+$I$19+$J$19+$K$19)*Table53[[#This Row],[Locality''s Allocation Percentage ]]</f>
        <v>53818.899073085748</v>
      </c>
      <c r="AI118" s="61">
        <f>($C$20+$D$20+$E$20+$F$20+$G$20+$H$20+$I$20+$J$20+$K$20)*Table53[[#This Row],[Locality''s Allocation Percentage ]]</f>
        <v>44715.695126791732</v>
      </c>
      <c r="AJ118" s="61">
        <f>($C$21+$D$21+$E$21+$F$21+$G$21+$H$21+$I$21+$J$21+$K$21)*Table53[[#This Row],[Locality''s Allocation Percentage ]]</f>
        <v>44715.695126791732</v>
      </c>
      <c r="AK118" s="61">
        <f>($C$22+$D$22+$E$22+$F$22+$G$22+$H$22+$I$22+$J$22+$K$22)*Table53[[#This Row],[Locality''s Allocation Percentage ]]</f>
        <v>31306.224949180862</v>
      </c>
      <c r="AL118" s="61"/>
      <c r="AM118" s="61"/>
      <c r="AN118" s="61">
        <f>$L$6*Table53[[#This Row],[Locality''s Allocation Percentage ]]</f>
        <v>55144.108328749804</v>
      </c>
      <c r="AO118" s="61">
        <f>$L$7*Table53[[#This Row],[Locality''s Allocation Percentage ]]</f>
        <v>63832.142343026047</v>
      </c>
      <c r="AP118" s="61">
        <f>$L$8*Table53[[#This Row],[Locality''s Allocation Percentage ]]</f>
        <v>24857.141548350159</v>
      </c>
      <c r="AQ118" s="61">
        <f>$L$9*Table53[[#This Row],[Locality''s Allocation Percentage ]]</f>
        <v>27272.208025783573</v>
      </c>
      <c r="AR118" s="61">
        <f>$L$10*Table53[[#This Row],[Locality''s Allocation Percentage ]]</f>
        <v>29054.505542637839</v>
      </c>
      <c r="AS118" s="61">
        <f>$L$11*Table53[[#This Row],[Locality''s Allocation Percentage ]]</f>
        <v>21867.448255716947</v>
      </c>
      <c r="AT118" s="61">
        <f>$L$12*Table53[[#This Row],[Locality''s Allocation Percentage ]]</f>
        <v>31099.397258213739</v>
      </c>
      <c r="AU118" s="61">
        <f>$L$13*Table53[[#This Row],[Locality''s Allocation Percentage ]]</f>
        <v>31286.049918633693</v>
      </c>
      <c r="AV118" s="61">
        <f>$L$14*Table53[[#This Row],[Locality''s Allocation Percentage ]]</f>
        <v>29096.628666517256</v>
      </c>
      <c r="AW118" s="61">
        <f>$L$15*Table53[[#This Row],[Locality''s Allocation Percentage ]]</f>
        <v>26915.166427161348</v>
      </c>
      <c r="AX118" s="61">
        <f>$L$16*Table53[[#This Row],[Locality''s Allocation Percentage ]]</f>
        <v>24645.98994700098</v>
      </c>
      <c r="AY118" s="61">
        <f>$L$17*Table53[[#This Row],[Locality''s Allocation Percentage ]]</f>
        <v>19241.915753619043</v>
      </c>
      <c r="AZ118" s="61">
        <f>$L$18*Table53[[#This Row],[Locality''s Allocation Percentage ]]</f>
        <v>19241.915753619043</v>
      </c>
      <c r="BA118" s="61">
        <f>$L$19*Table53[[#This Row],[Locality''s Allocation Percentage ]]</f>
        <v>19241.915753619043</v>
      </c>
      <c r="BB118" s="61">
        <f>$L$20*Table53[[#This Row],[Locality''s Allocation Percentage ]]</f>
        <v>15904.074306644572</v>
      </c>
      <c r="BC118" s="61">
        <f>$L$21*Table53[[#This Row],[Locality''s Allocation Percentage ]]</f>
        <v>15904.074306644572</v>
      </c>
      <c r="BD118" s="61">
        <f>$L$22*Table53[[#This Row],[Locality''s Allocation Percentage ]]</f>
        <v>11478.949148032982</v>
      </c>
      <c r="BE118" s="61"/>
      <c r="BF118" s="61">
        <f t="shared" si="70"/>
        <v>0</v>
      </c>
      <c r="BG118" s="61">
        <f t="shared" si="70"/>
        <v>13786.027082187451</v>
      </c>
      <c r="BH118" s="61">
        <f t="shared" si="75"/>
        <v>15958.035585756512</v>
      </c>
      <c r="BI118" s="61">
        <f t="shared" si="76"/>
        <v>6214.2853870875397</v>
      </c>
      <c r="BJ118" s="61">
        <f t="shared" si="77"/>
        <v>6818.0520064458933</v>
      </c>
      <c r="BK118" s="61">
        <f t="shared" si="78"/>
        <v>7263.6263856594596</v>
      </c>
      <c r="BL118" s="61">
        <f t="shared" si="79"/>
        <v>5466.8620639292367</v>
      </c>
      <c r="BM118" s="61">
        <f t="shared" si="80"/>
        <v>7774.8493145534349</v>
      </c>
      <c r="BN118" s="61">
        <f t="shared" si="81"/>
        <v>7821.5124796584232</v>
      </c>
      <c r="BO118" s="61">
        <f t="shared" si="82"/>
        <v>7274.1571666293139</v>
      </c>
      <c r="BP118" s="61">
        <f t="shared" si="83"/>
        <v>6728.791606790337</v>
      </c>
      <c r="BQ118" s="61">
        <f t="shared" si="84"/>
        <v>6161.4974867502451</v>
      </c>
      <c r="BR118" s="61">
        <f t="shared" si="85"/>
        <v>4810.4789384047608</v>
      </c>
      <c r="BS118" s="61">
        <f t="shared" si="86"/>
        <v>4810.4789384047608</v>
      </c>
      <c r="BT118" s="61">
        <f t="shared" si="87"/>
        <v>4810.4789384047608</v>
      </c>
      <c r="BU118" s="61">
        <f t="shared" si="88"/>
        <v>3976.018576661143</v>
      </c>
      <c r="BV118" s="61">
        <f t="shared" si="89"/>
        <v>3976.018576661143</v>
      </c>
      <c r="BW118" s="61">
        <f t="shared" si="74"/>
        <v>2869.7372870082454</v>
      </c>
      <c r="BX118" s="61"/>
      <c r="BY118" s="61">
        <f>($C$6+$D$6+$E$6)*Table53[[#This Row],[Locality''s Allocation Percentage ]]</f>
        <v>152393.89189926162</v>
      </c>
      <c r="BZ118" s="61">
        <f>$L$6*Table53[[#This Row],[Locality''s Allocation Percentage ]]</f>
        <v>55144.108328749804</v>
      </c>
      <c r="CA118" s="61">
        <f t="shared" si="71"/>
        <v>13786.027082187451</v>
      </c>
      <c r="CB118" s="76">
        <f>($C$7+$D$7+$E$7)*Table53[[#This Row],[Locality''s Allocation Percentage ]]</f>
        <v>54959.163492420172</v>
      </c>
      <c r="CC118" s="76">
        <f>$L$7*Table53[[#This Row],[Locality''s Allocation Percentage ]]</f>
        <v>63832.142343026047</v>
      </c>
      <c r="CD118" s="76">
        <f t="shared" si="72"/>
        <v>15958.035585756512</v>
      </c>
    </row>
    <row r="119" spans="16:82" s="19" customFormat="1" ht="18" customHeight="1" x14ac:dyDescent="0.25">
      <c r="P119" s="36" t="s">
        <v>305</v>
      </c>
      <c r="Q119" s="37">
        <v>1.370013700137E-3</v>
      </c>
      <c r="S119" s="22" t="s">
        <v>184</v>
      </c>
      <c r="T119" s="61">
        <f>($C$5+$D$5+$E$5+$F$5+$G$5+$H$5+$I$5+$J$5+$K$5)*Table53[[#This Row],[Locality''s Allocation Percentage ]]</f>
        <v>5570.8992918325284</v>
      </c>
      <c r="U119" s="61">
        <f>($C$6+$D$6+$E$6+$F$6+$G$6+$H$6+$I$6+$J$6+$K$6)*Table53[[#This Row],[Locality''s Allocation Percentage ]]</f>
        <v>35266.829713173662</v>
      </c>
      <c r="V119" s="61">
        <f>($C$7+$D$7+$E$7+$F$7+$G$7+$H$7+$I$7+$J$7+$K$7)*Table53[[#This Row],[Locality''s Allocation Percentage ]]</f>
        <v>43493.025106868452</v>
      </c>
      <c r="W119" s="61">
        <f>($C$8+$D$8+$E$8+$F$8+$G$8+$H$8+$I$8+$J$8+$K$8)*Table53[[#This Row],[Locality''s Allocation Percentage ]]</f>
        <v>16679.478843577017</v>
      </c>
      <c r="X119" s="61">
        <f>($C$9+$D$9+$E$9+$F$9+$G$9+$H$9+$I$9+$J$9+$K$9)*Table53[[#This Row],[Locality''s Allocation Percentage ]]</f>
        <v>17923.17790546644</v>
      </c>
      <c r="Y119" s="61">
        <f>($C$10+$D$10+$E$10+$F$10+$G$10+$H$10+$I$10+$J$10+$K$10)*Table53[[#This Row],[Locality''s Allocation Percentage ]]</f>
        <v>19048.061626945408</v>
      </c>
      <c r="Z119" s="61">
        <f>($C$11+$D$11+$E$11+$F$11+$G$11+$H$11+$I$11+$J$11+$K$11)*Table53[[#This Row],[Locality''s Allocation Percentage ]]</f>
        <v>14512.004279088404</v>
      </c>
      <c r="AA119" s="61">
        <f>($C$12+$D$12+$E$12+$F$12+$G$12+$H$12+$I$12+$J$12+$K$12)*Table53[[#This Row],[Locality''s Allocation Percentage ]]</f>
        <v>20338.679709104028</v>
      </c>
      <c r="AB119" s="61">
        <f>($C$13+$D$13+$E$13+$F$13+$G$13+$H$13+$I$13+$J$13+$K$13)*Table53[[#This Row],[Locality''s Allocation Percentage ]]</f>
        <v>20431.219390015813</v>
      </c>
      <c r="AC119" s="61">
        <f>($C$14+$D$14+$E$14+$F$14+$G$14+$H$14+$I$14+$J$14+$K$14)*Table53[[#This Row],[Locality''s Allocation Percentage ]]</f>
        <v>19129.606067020126</v>
      </c>
      <c r="AD119" s="61">
        <f>($C$15+$D$15+$E$15+$F$15+$G$15+$H$15+$I$15+$J$15+$K$15)*Table53[[#This Row],[Locality''s Allocation Percentage ]]</f>
        <v>17752.391558564526</v>
      </c>
      <c r="AE119" s="61">
        <f>($C$16+$D$16+$E$16+$F$16+$G$16+$H$16+$I$16+$J$16+$K$16)*Table53[[#This Row],[Locality''s Allocation Percentage ]]</f>
        <v>16320.217827996486</v>
      </c>
      <c r="AF119" s="61">
        <f>($C$17+$D$17+$E$17+$F$17+$G$17+$H$17+$I$17+$J$17+$K$17)*Table53[[#This Row],[Locality''s Allocation Percentage ]]</f>
        <v>12454.71144089989</v>
      </c>
      <c r="AG119" s="61">
        <f>($C$18+$D$18+$E$18+$F$18+$G$18+$H$18+$I$18+$J$18+$K$18)*Table53[[#This Row],[Locality''s Allocation Percentage ]]</f>
        <v>12454.71144089989</v>
      </c>
      <c r="AH119" s="61">
        <f>($C$19+$D$19+$E$19+$F$19+$G$19+$H$19+$I$19+$J$19+$K$19)*Table53[[#This Row],[Locality''s Allocation Percentage ]]</f>
        <v>12454.71144089989</v>
      </c>
      <c r="AI119" s="61">
        <f>($C$20+$D$20+$E$20+$F$20+$G$20+$H$20+$I$20+$J$20+$K$20)*Table53[[#This Row],[Locality''s Allocation Percentage ]]</f>
        <v>10348.057824950096</v>
      </c>
      <c r="AJ119" s="61">
        <f>($C$21+$D$21+$E$21+$F$21+$G$21+$H$21+$I$21+$J$21+$K$21)*Table53[[#This Row],[Locality''s Allocation Percentage ]]</f>
        <v>10348.057824950096</v>
      </c>
      <c r="AK119" s="61">
        <f>($C$22+$D$22+$E$22+$F$22+$G$22+$H$22+$I$22+$J$22+$K$22)*Table53[[#This Row],[Locality''s Allocation Percentage ]]</f>
        <v>7244.8527331719097</v>
      </c>
      <c r="AL119" s="61"/>
      <c r="AM119" s="61"/>
      <c r="AN119" s="61">
        <f>$L$6*Table53[[#This Row],[Locality''s Allocation Percentage ]]</f>
        <v>12761.389934187011</v>
      </c>
      <c r="AO119" s="61">
        <f>$L$7*Table53[[#This Row],[Locality''s Allocation Percentage ]]</f>
        <v>14771.965373301611</v>
      </c>
      <c r="AP119" s="61">
        <f>$L$8*Table53[[#This Row],[Locality''s Allocation Percentage ]]</f>
        <v>5752.4128245337261</v>
      </c>
      <c r="AQ119" s="61">
        <f>$L$9*Table53[[#This Row],[Locality''s Allocation Percentage ]]</f>
        <v>6311.3048978586876</v>
      </c>
      <c r="AR119" s="61">
        <f>$L$10*Table53[[#This Row],[Locality''s Allocation Percentage ]]</f>
        <v>6723.7622624009755</v>
      </c>
      <c r="AS119" s="61">
        <f>$L$11*Table53[[#This Row],[Locality''s Allocation Percentage ]]</f>
        <v>5060.5412348534064</v>
      </c>
      <c r="AT119" s="61">
        <f>$L$12*Table53[[#This Row],[Locality''s Allocation Percentage ]]</f>
        <v>7196.9888925258028</v>
      </c>
      <c r="AU119" s="61">
        <f>$L$13*Table53[[#This Row],[Locality''s Allocation Percentage ]]</f>
        <v>7240.1838494135282</v>
      </c>
      <c r="AV119" s="61">
        <f>$L$14*Table53[[#This Row],[Locality''s Allocation Percentage ]]</f>
        <v>6733.5103501906369</v>
      </c>
      <c r="AW119" s="61">
        <f>$L$15*Table53[[#This Row],[Locality''s Allocation Percentage ]]</f>
        <v>6228.6787170964499</v>
      </c>
      <c r="AX119" s="61">
        <f>$L$16*Table53[[#This Row],[Locality''s Allocation Percentage ]]</f>
        <v>5703.5483492215008</v>
      </c>
      <c r="AY119" s="61">
        <f>$L$17*Table53[[#This Row],[Locality''s Allocation Percentage ]]</f>
        <v>4452.9433416314259</v>
      </c>
      <c r="AZ119" s="61">
        <f>$L$18*Table53[[#This Row],[Locality''s Allocation Percentage ]]</f>
        <v>4452.9433416314259</v>
      </c>
      <c r="BA119" s="61">
        <f>$L$19*Table53[[#This Row],[Locality''s Allocation Percentage ]]</f>
        <v>4452.9433416314259</v>
      </c>
      <c r="BB119" s="61">
        <f>$L$20*Table53[[#This Row],[Locality''s Allocation Percentage ]]</f>
        <v>3680.5036824498357</v>
      </c>
      <c r="BC119" s="61">
        <f>$L$21*Table53[[#This Row],[Locality''s Allocation Percentage ]]</f>
        <v>3680.5036824498357</v>
      </c>
      <c r="BD119" s="61">
        <f>$L$22*Table53[[#This Row],[Locality''s Allocation Percentage ]]</f>
        <v>2656.4460021630334</v>
      </c>
      <c r="BE119" s="61"/>
      <c r="BF119" s="61">
        <f t="shared" si="70"/>
        <v>0</v>
      </c>
      <c r="BG119" s="61">
        <f t="shared" si="70"/>
        <v>3190.3474835467528</v>
      </c>
      <c r="BH119" s="61">
        <f t="shared" si="75"/>
        <v>3692.9913433254028</v>
      </c>
      <c r="BI119" s="61">
        <f t="shared" si="76"/>
        <v>1438.1032061334315</v>
      </c>
      <c r="BJ119" s="61">
        <f t="shared" si="77"/>
        <v>1577.8262244646719</v>
      </c>
      <c r="BK119" s="61">
        <f t="shared" si="78"/>
        <v>1680.9405656002439</v>
      </c>
      <c r="BL119" s="61">
        <f t="shared" si="79"/>
        <v>1265.1353087133516</v>
      </c>
      <c r="BM119" s="61">
        <f t="shared" si="80"/>
        <v>1799.2472231314507</v>
      </c>
      <c r="BN119" s="61">
        <f t="shared" si="81"/>
        <v>1810.045962353382</v>
      </c>
      <c r="BO119" s="61">
        <f t="shared" si="82"/>
        <v>1683.3775875476592</v>
      </c>
      <c r="BP119" s="61">
        <f t="shared" si="83"/>
        <v>1557.1696792741125</v>
      </c>
      <c r="BQ119" s="61">
        <f t="shared" si="84"/>
        <v>1425.8870873053752</v>
      </c>
      <c r="BR119" s="61">
        <f t="shared" si="85"/>
        <v>1113.2358354078565</v>
      </c>
      <c r="BS119" s="61">
        <f t="shared" si="86"/>
        <v>1113.2358354078565</v>
      </c>
      <c r="BT119" s="61">
        <f t="shared" si="87"/>
        <v>1113.2358354078565</v>
      </c>
      <c r="BU119" s="61">
        <f t="shared" si="88"/>
        <v>920.12592061245891</v>
      </c>
      <c r="BV119" s="61">
        <f t="shared" si="89"/>
        <v>920.12592061245891</v>
      </c>
      <c r="BW119" s="61">
        <f t="shared" si="74"/>
        <v>664.11150054075836</v>
      </c>
      <c r="BX119" s="61"/>
      <c r="BY119" s="61">
        <f>($C$6+$D$6+$E$6)*Table53[[#This Row],[Locality''s Allocation Percentage ]]</f>
        <v>35266.829713173662</v>
      </c>
      <c r="BZ119" s="61">
        <f>$L$6*Table53[[#This Row],[Locality''s Allocation Percentage ]]</f>
        <v>12761.389934187011</v>
      </c>
      <c r="CA119" s="61">
        <f t="shared" si="71"/>
        <v>3190.3474835467528</v>
      </c>
      <c r="CB119" s="76">
        <f>($C$7+$D$7+$E$7)*Table53[[#This Row],[Locality''s Allocation Percentage ]]</f>
        <v>12718.59020010397</v>
      </c>
      <c r="CC119" s="76">
        <f>$L$7*Table53[[#This Row],[Locality''s Allocation Percentage ]]</f>
        <v>14771.965373301611</v>
      </c>
      <c r="CD119" s="76">
        <f t="shared" si="72"/>
        <v>3692.9913433254028</v>
      </c>
    </row>
    <row r="120" spans="16:82" s="19" customFormat="1" ht="18" customHeight="1" x14ac:dyDescent="0.25">
      <c r="P120" s="36" t="s">
        <v>306</v>
      </c>
      <c r="Q120" s="37">
        <v>1.4170141701417E-2</v>
      </c>
      <c r="S120" s="22" t="s">
        <v>185</v>
      </c>
      <c r="T120" s="61">
        <f>($C$5+$D$5+$E$5+$F$5+$G$5+$H$5+$I$5+$J$5+$K$5)*Table53[[#This Row],[Locality''s Allocation Percentage ]]</f>
        <v>57620.177346910168</v>
      </c>
      <c r="U120" s="61">
        <f>($C$6+$D$6+$E$6+$F$6+$G$6+$H$6+$I$6+$J$6+$K$6)*Table53[[#This Row],[Locality''s Allocation Percentage ]]</f>
        <v>364767.13652238745</v>
      </c>
      <c r="V120" s="61">
        <f>($C$7+$D$7+$E$7+$F$7+$G$7+$H$7+$I$7+$J$7+$K$7)*Table53[[#This Row],[Locality''s Allocation Percentage ]]</f>
        <v>449851.21588636935</v>
      </c>
      <c r="W120" s="61">
        <f>($C$8+$D$8+$E$8+$F$8+$G$8+$H$8+$I$8+$J$8+$K$8)*Table53[[#This Row],[Locality''s Allocation Percentage ]]</f>
        <v>172516.9454113039</v>
      </c>
      <c r="X120" s="61">
        <f>($C$9+$D$9+$E$9+$F$9+$G$9+$H$9+$I$9+$J$9+$K$9)*Table53[[#This Row],[Locality''s Allocation Percentage ]]</f>
        <v>185380.60651128428</v>
      </c>
      <c r="Y120" s="61">
        <f>($C$10+$D$10+$E$10+$F$10+$G$10+$H$10+$I$10+$J$10+$K$10)*Table53[[#This Row],[Locality''s Allocation Percentage ]]</f>
        <v>197015.35274001199</v>
      </c>
      <c r="Z120" s="61">
        <f>($C$11+$D$11+$E$11+$F$11+$G$11+$H$11+$I$11+$J$11+$K$11)*Table53[[#This Row],[Locality''s Allocation Percentage ]]</f>
        <v>150098.61360195818</v>
      </c>
      <c r="AA120" s="61">
        <f>($C$12+$D$12+$E$12+$F$12+$G$12+$H$12+$I$12+$J$12+$K$12)*Table53[[#This Row],[Locality''s Allocation Percentage ]]</f>
        <v>210364.30034890809</v>
      </c>
      <c r="AB120" s="61">
        <f>($C$13+$D$13+$E$13+$F$13+$G$13+$H$13+$I$13+$J$13+$K$13)*Table53[[#This Row],[Locality''s Allocation Percentage ]]</f>
        <v>211321.44434782775</v>
      </c>
      <c r="AC120" s="61">
        <f>($C$14+$D$14+$E$14+$F$14+$G$14+$H$14+$I$14+$J$14+$K$14)*Table53[[#This Row],[Locality''s Allocation Percentage ]]</f>
        <v>197858.77224063882</v>
      </c>
      <c r="AD120" s="61">
        <f>($C$15+$D$15+$E$15+$F$15+$G$15+$H$15+$I$15+$J$15+$K$15)*Table53[[#This Row],[Locality''s Allocation Percentage ]]</f>
        <v>183614.15210573675</v>
      </c>
      <c r="AE120" s="61">
        <f>($C$16+$D$16+$E$16+$F$16+$G$16+$H$16+$I$16+$J$16+$K$16)*Table53[[#This Row],[Locality''s Allocation Percentage ]]</f>
        <v>168801.08512606582</v>
      </c>
      <c r="AF120" s="61">
        <f>($C$17+$D$17+$E$17+$F$17+$G$17+$H$17+$I$17+$J$17+$K$17)*Table53[[#This Row],[Locality''s Allocation Percentage ]]</f>
        <v>128819.89862594995</v>
      </c>
      <c r="AG120" s="61">
        <f>($C$18+$D$18+$E$18+$F$18+$G$18+$H$18+$I$18+$J$18+$K$18)*Table53[[#This Row],[Locality''s Allocation Percentage ]]</f>
        <v>128819.89862594995</v>
      </c>
      <c r="AH120" s="61">
        <f>($C$19+$D$19+$E$19+$F$19+$G$19+$H$19+$I$19+$J$19+$K$19)*Table53[[#This Row],[Locality''s Allocation Percentage ]]</f>
        <v>128819.89862594995</v>
      </c>
      <c r="AI120" s="61">
        <f>($C$20+$D$20+$E$20+$F$20+$G$20+$H$20+$I$20+$J$20+$K$20)*Table53[[#This Row],[Locality''s Allocation Percentage ]]</f>
        <v>107030.641882878</v>
      </c>
      <c r="AJ120" s="61">
        <f>($C$21+$D$21+$E$21+$F$21+$G$21+$H$21+$I$21+$J$21+$K$21)*Table53[[#This Row],[Locality''s Allocation Percentage ]]</f>
        <v>107030.641882878</v>
      </c>
      <c r="AK120" s="61">
        <f>($C$22+$D$22+$E$22+$F$22+$G$22+$H$22+$I$22+$J$22+$K$22)*Table53[[#This Row],[Locality''s Allocation Percentage ]]</f>
        <v>74933.987758427713</v>
      </c>
      <c r="AL120" s="61"/>
      <c r="AM120" s="61"/>
      <c r="AN120" s="61">
        <f>$L$6*Table53[[#This Row],[Locality''s Allocation Percentage ]]</f>
        <v>131991.89442878097</v>
      </c>
      <c r="AO120" s="61">
        <f>$L$7*Table53[[#This Row],[Locality''s Allocation Percentage ]]</f>
        <v>152787.40827714148</v>
      </c>
      <c r="AP120" s="61">
        <f>$L$8*Table53[[#This Row],[Locality''s Allocation Percentage ]]</f>
        <v>59497.583739885325</v>
      </c>
      <c r="AQ120" s="61">
        <f>$L$9*Table53[[#This Row],[Locality''s Allocation Percentage ]]</f>
        <v>65278.241169823064</v>
      </c>
      <c r="AR120" s="61">
        <f>$L$10*Table53[[#This Row],[Locality''s Allocation Percentage ]]</f>
        <v>69544.314787023221</v>
      </c>
      <c r="AS120" s="61">
        <f>$L$11*Table53[[#This Row],[Locality''s Allocation Percentage ]]</f>
        <v>52341.510436403478</v>
      </c>
      <c r="AT120" s="61">
        <f>$L$12*Table53[[#This Row],[Locality''s Allocation Percentage ]]</f>
        <v>74438.928910285133</v>
      </c>
      <c r="AU120" s="61">
        <f>$L$13*Table53[[#This Row],[Locality''s Allocation Percentage ]]</f>
        <v>74885.69718699978</v>
      </c>
      <c r="AV120" s="61">
        <f>$L$14*Table53[[#This Row],[Locality''s Allocation Percentage ]]</f>
        <v>69645.13989941703</v>
      </c>
      <c r="AW120" s="61">
        <f>$L$15*Table53[[#This Row],[Locality''s Allocation Percentage ]]</f>
        <v>64423.633154201962</v>
      </c>
      <c r="AX120" s="61">
        <f>$L$16*Table53[[#This Row],[Locality''s Allocation Percentage ]]</f>
        <v>58992.175261655961</v>
      </c>
      <c r="AY120" s="61">
        <f>$L$17*Table53[[#This Row],[Locality''s Allocation Percentage ]]</f>
        <v>46057.085511618476</v>
      </c>
      <c r="AZ120" s="61">
        <f>$L$18*Table53[[#This Row],[Locality''s Allocation Percentage ]]</f>
        <v>46057.085511618476</v>
      </c>
      <c r="BA120" s="61">
        <f>$L$19*Table53[[#This Row],[Locality''s Allocation Percentage ]]</f>
        <v>46057.085511618476</v>
      </c>
      <c r="BB120" s="61">
        <f>$L$20*Table53[[#This Row],[Locality''s Allocation Percentage ]]</f>
        <v>38067.691372492096</v>
      </c>
      <c r="BC120" s="61">
        <f>$L$21*Table53[[#This Row],[Locality''s Allocation Percentage ]]</f>
        <v>38067.691372492096</v>
      </c>
      <c r="BD120" s="61">
        <f>$L$22*Table53[[#This Row],[Locality''s Allocation Percentage ]]</f>
        <v>27475.79551142349</v>
      </c>
      <c r="BE120" s="61"/>
      <c r="BF120" s="61">
        <f t="shared" si="70"/>
        <v>0</v>
      </c>
      <c r="BG120" s="61">
        <f t="shared" si="70"/>
        <v>32997.973607195243</v>
      </c>
      <c r="BH120" s="61">
        <f t="shared" si="75"/>
        <v>38196.852069285371</v>
      </c>
      <c r="BI120" s="61">
        <f t="shared" si="76"/>
        <v>14874.395934971331</v>
      </c>
      <c r="BJ120" s="61">
        <f t="shared" si="77"/>
        <v>16319.560292455766</v>
      </c>
      <c r="BK120" s="61">
        <f t="shared" si="78"/>
        <v>17386.078696755805</v>
      </c>
      <c r="BL120" s="61">
        <f t="shared" si="79"/>
        <v>13085.377609100869</v>
      </c>
      <c r="BM120" s="61">
        <f t="shared" si="80"/>
        <v>18609.732227571283</v>
      </c>
      <c r="BN120" s="61">
        <f t="shared" si="81"/>
        <v>18721.424296749945</v>
      </c>
      <c r="BO120" s="61">
        <f t="shared" si="82"/>
        <v>17411.284974854258</v>
      </c>
      <c r="BP120" s="61">
        <f t="shared" si="83"/>
        <v>16105.90828855049</v>
      </c>
      <c r="BQ120" s="61">
        <f t="shared" si="84"/>
        <v>14748.04381541399</v>
      </c>
      <c r="BR120" s="61">
        <f t="shared" si="85"/>
        <v>11514.271377904619</v>
      </c>
      <c r="BS120" s="61">
        <f t="shared" si="86"/>
        <v>11514.271377904619</v>
      </c>
      <c r="BT120" s="61">
        <f t="shared" si="87"/>
        <v>11514.271377904619</v>
      </c>
      <c r="BU120" s="61">
        <f t="shared" si="88"/>
        <v>9516.922843123024</v>
      </c>
      <c r="BV120" s="61">
        <f t="shared" si="89"/>
        <v>9516.922843123024</v>
      </c>
      <c r="BW120" s="61">
        <f t="shared" si="74"/>
        <v>6868.9488778558725</v>
      </c>
      <c r="BX120" s="61"/>
      <c r="BY120" s="61">
        <f>($C$6+$D$6+$E$6)*Table53[[#This Row],[Locality''s Allocation Percentage ]]</f>
        <v>364767.13652238745</v>
      </c>
      <c r="BZ120" s="61">
        <f>$L$6*Table53[[#This Row],[Locality''s Allocation Percentage ]]</f>
        <v>131991.89442878097</v>
      </c>
      <c r="CA120" s="61">
        <f t="shared" si="71"/>
        <v>32997.973607195243</v>
      </c>
      <c r="CB120" s="76">
        <f>($C$7+$D$7+$E$7)*Table53[[#This Row],[Locality''s Allocation Percentage ]]</f>
        <v>131549.21396749871</v>
      </c>
      <c r="CC120" s="76">
        <f>$L$7*Table53[[#This Row],[Locality''s Allocation Percentage ]]</f>
        <v>152787.40827714148</v>
      </c>
      <c r="CD120" s="76">
        <f t="shared" si="72"/>
        <v>38196.852069285371</v>
      </c>
    </row>
    <row r="121" spans="16:82" s="19" customFormat="1" ht="18" customHeight="1" x14ac:dyDescent="0.25">
      <c r="P121" s="36" t="s">
        <v>307</v>
      </c>
      <c r="Q121" s="37">
        <v>1.4430144301443E-2</v>
      </c>
      <c r="S121" s="22" t="s">
        <v>186</v>
      </c>
      <c r="T121" s="61">
        <f>($C$5+$D$5+$E$5+$F$5+$G$5+$H$5+$I$5+$J$5+$K$5)*Table53[[#This Row],[Locality''s Allocation Percentage ]]</f>
        <v>58677.428307403934</v>
      </c>
      <c r="U121" s="61">
        <f>($C$6+$D$6+$E$6+$F$6+$G$6+$H$6+$I$6+$J$6+$K$6)*Table53[[#This Row],[Locality''s Allocation Percentage ]]</f>
        <v>371460.11150444957</v>
      </c>
      <c r="V121" s="61">
        <f>($C$7+$D$7+$E$7+$F$7+$G$7+$H$7+$I$7+$J$7+$K$7)*Table53[[#This Row],[Locality''s Allocation Percentage ]]</f>
        <v>458105.36663657794</v>
      </c>
      <c r="W121" s="61">
        <f>($C$8+$D$8+$E$8+$F$8+$G$8+$H$8+$I$8+$J$8+$K$8)*Table53[[#This Row],[Locality''s Allocation Percentage ]]</f>
        <v>175682.39395096083</v>
      </c>
      <c r="X121" s="61">
        <f>($C$9+$D$9+$E$9+$F$9+$G$9+$H$9+$I$9+$J$9+$K$9)*Table53[[#This Row],[Locality''s Allocation Percentage ]]</f>
        <v>188782.08552983997</v>
      </c>
      <c r="Y121" s="61">
        <f>($C$10+$D$10+$E$10+$F$10+$G$10+$H$10+$I$10+$J$10+$K$10)*Table53[[#This Row],[Locality''s Allocation Percentage ]]</f>
        <v>200630.31334074616</v>
      </c>
      <c r="Z121" s="61">
        <f>($C$11+$D$11+$E$11+$F$11+$G$11+$H$11+$I$11+$J$11+$K$11)*Table53[[#This Row],[Locality''s Allocation Percentage ]]</f>
        <v>152852.71660382894</v>
      </c>
      <c r="AA121" s="61">
        <f>($C$12+$D$12+$E$12+$F$12+$G$12+$H$12+$I$12+$J$12+$K$12)*Table53[[#This Row],[Locality''s Allocation Percentage ]]</f>
        <v>214224.19576815411</v>
      </c>
      <c r="AB121" s="61">
        <f>($C$13+$D$13+$E$13+$F$13+$G$13+$H$13+$I$13+$J$13+$K$13)*Table53[[#This Row],[Locality''s Allocation Percentage ]]</f>
        <v>215198.90204228333</v>
      </c>
      <c r="AC121" s="61">
        <f>($C$14+$D$14+$E$14+$F$14+$G$14+$H$14+$I$14+$J$14+$K$14)*Table53[[#This Row],[Locality''s Allocation Percentage ]]</f>
        <v>201489.20842854047</v>
      </c>
      <c r="AD121" s="61">
        <f>($C$15+$D$15+$E$15+$F$15+$G$15+$H$15+$I$15+$J$15+$K$15)*Table53[[#This Row],[Locality''s Allocation Percentage ]]</f>
        <v>186983.21911685116</v>
      </c>
      <c r="AE121" s="61">
        <f>($C$16+$D$16+$E$16+$F$16+$G$16+$H$16+$I$16+$J$16+$K$16)*Table53[[#This Row],[Locality''s Allocation Percentage ]]</f>
        <v>171898.35274305785</v>
      </c>
      <c r="AF121" s="61">
        <f>($C$17+$D$17+$E$17+$F$17+$G$17+$H$17+$I$17+$J$17+$K$17)*Table53[[#This Row],[Locality''s Allocation Percentage ]]</f>
        <v>131183.56649064628</v>
      </c>
      <c r="AG121" s="61">
        <f>($C$18+$D$18+$E$18+$F$18+$G$18+$H$18+$I$18+$J$18+$K$18)*Table53[[#This Row],[Locality''s Allocation Percentage ]]</f>
        <v>131183.56649064628</v>
      </c>
      <c r="AH121" s="61">
        <f>($C$19+$D$19+$E$19+$F$19+$G$19+$H$19+$I$19+$J$19+$K$19)*Table53[[#This Row],[Locality''s Allocation Percentage ]]</f>
        <v>131183.56649064628</v>
      </c>
      <c r="AI121" s="61">
        <f>($C$20+$D$20+$E$20+$F$20+$G$20+$H$20+$I$20+$J$20+$K$20)*Table53[[#This Row],[Locality''s Allocation Percentage ]]</f>
        <v>108994.50687155465</v>
      </c>
      <c r="AJ121" s="61">
        <f>($C$21+$D$21+$E$21+$F$21+$G$21+$H$21+$I$21+$J$21+$K$21)*Table53[[#This Row],[Locality''s Allocation Percentage ]]</f>
        <v>108994.50687155465</v>
      </c>
      <c r="AK121" s="61">
        <f>($C$22+$D$22+$E$22+$F$22+$G$22+$H$22+$I$22+$J$22+$K$22)*Table53[[#This Row],[Locality''s Allocation Percentage ]]</f>
        <v>76308.923313628213</v>
      </c>
      <c r="AL121" s="61"/>
      <c r="AM121" s="61"/>
      <c r="AN121" s="61">
        <f>$L$6*Table53[[#This Row],[Locality''s Allocation Percentage ]]</f>
        <v>134413.76405132742</v>
      </c>
      <c r="AO121" s="61">
        <f>$L$7*Table53[[#This Row],[Locality''s Allocation Percentage ]]</f>
        <v>155590.84696112573</v>
      </c>
      <c r="AP121" s="61">
        <f>$L$8*Table53[[#This Row],[Locality''s Allocation Percentage ]]</f>
        <v>60589.282524103408</v>
      </c>
      <c r="AQ121" s="61">
        <f>$L$9*Table53[[#This Row],[Locality''s Allocation Percentage ]]</f>
        <v>66476.007062847348</v>
      </c>
      <c r="AR121" s="61">
        <f>$L$10*Table53[[#This Row],[Locality''s Allocation Percentage ]]</f>
        <v>70820.357260179619</v>
      </c>
      <c r="AS121" s="61">
        <f>$L$11*Table53[[#This Row],[Locality''s Allocation Percentage ]]</f>
        <v>53301.905123309967</v>
      </c>
      <c r="AT121" s="61">
        <f>$L$12*Table53[[#This Row],[Locality''s Allocation Percentage ]]</f>
        <v>75804.780816895858</v>
      </c>
      <c r="AU121" s="61">
        <f>$L$13*Table53[[#This Row],[Locality''s Allocation Percentage ]]</f>
        <v>76259.7466766695</v>
      </c>
      <c r="AV121" s="61">
        <f>$L$14*Table53[[#This Row],[Locality''s Allocation Percentage ]]</f>
        <v>70923.032374635688</v>
      </c>
      <c r="AW121" s="61">
        <f>$L$15*Table53[[#This Row],[Locality''s Allocation Percentage ]]</f>
        <v>65605.718166205668</v>
      </c>
      <c r="AX121" s="61">
        <f>$L$16*Table53[[#This Row],[Locality''s Allocation Percentage ]]</f>
        <v>60074.600495814782</v>
      </c>
      <c r="AY121" s="61">
        <f>$L$17*Table53[[#This Row],[Locality''s Allocation Percentage ]]</f>
        <v>46902.169649446332</v>
      </c>
      <c r="AZ121" s="61">
        <f>$L$18*Table53[[#This Row],[Locality''s Allocation Percentage ]]</f>
        <v>46902.169649446332</v>
      </c>
      <c r="BA121" s="61">
        <f>$L$19*Table53[[#This Row],[Locality''s Allocation Percentage ]]</f>
        <v>46902.169649446332</v>
      </c>
      <c r="BB121" s="61">
        <f>$L$20*Table53[[#This Row],[Locality''s Allocation Percentage ]]</f>
        <v>38766.181122446076</v>
      </c>
      <c r="BC121" s="61">
        <f>$L$21*Table53[[#This Row],[Locality''s Allocation Percentage ]]</f>
        <v>38766.181122446076</v>
      </c>
      <c r="BD121" s="61">
        <f>$L$22*Table53[[#This Row],[Locality''s Allocation Percentage ]]</f>
        <v>27979.938548330345</v>
      </c>
      <c r="BE121" s="61"/>
      <c r="BF121" s="61">
        <f t="shared" si="70"/>
        <v>0</v>
      </c>
      <c r="BG121" s="61">
        <f t="shared" si="70"/>
        <v>33603.441012831856</v>
      </c>
      <c r="BH121" s="61">
        <f t="shared" si="75"/>
        <v>38897.711740281433</v>
      </c>
      <c r="BI121" s="61">
        <f t="shared" si="76"/>
        <v>15147.320631025852</v>
      </c>
      <c r="BJ121" s="61">
        <f t="shared" si="77"/>
        <v>16619.001765711837</v>
      </c>
      <c r="BK121" s="61">
        <f t="shared" si="78"/>
        <v>17705.089315044905</v>
      </c>
      <c r="BL121" s="61">
        <f t="shared" si="79"/>
        <v>13325.476280827492</v>
      </c>
      <c r="BM121" s="61">
        <f t="shared" si="80"/>
        <v>18951.195204223965</v>
      </c>
      <c r="BN121" s="61">
        <f t="shared" si="81"/>
        <v>19064.936669167375</v>
      </c>
      <c r="BO121" s="61">
        <f t="shared" si="82"/>
        <v>17730.758093658922</v>
      </c>
      <c r="BP121" s="61">
        <f t="shared" si="83"/>
        <v>16401.429541551417</v>
      </c>
      <c r="BQ121" s="61">
        <f t="shared" si="84"/>
        <v>15018.650123953696</v>
      </c>
      <c r="BR121" s="61">
        <f t="shared" si="85"/>
        <v>11725.542412361583</v>
      </c>
      <c r="BS121" s="61">
        <f t="shared" si="86"/>
        <v>11725.542412361583</v>
      </c>
      <c r="BT121" s="61">
        <f t="shared" si="87"/>
        <v>11725.542412361583</v>
      </c>
      <c r="BU121" s="61">
        <f t="shared" si="88"/>
        <v>9691.545280611519</v>
      </c>
      <c r="BV121" s="61">
        <f t="shared" si="89"/>
        <v>9691.545280611519</v>
      </c>
      <c r="BW121" s="61">
        <f t="shared" si="74"/>
        <v>6994.9846370825862</v>
      </c>
      <c r="BX121" s="61"/>
      <c r="BY121" s="61">
        <f>($C$6+$D$6+$E$6)*Table53[[#This Row],[Locality''s Allocation Percentage ]]</f>
        <v>371460.11150444957</v>
      </c>
      <c r="BZ121" s="61">
        <f>$L$6*Table53[[#This Row],[Locality''s Allocation Percentage ]]</f>
        <v>134413.76405132742</v>
      </c>
      <c r="CA121" s="61">
        <f t="shared" si="71"/>
        <v>33603.441012831856</v>
      </c>
      <c r="CB121" s="76">
        <f>($C$7+$D$7+$E$7)*Table53[[#This Row],[Locality''s Allocation Percentage ]]</f>
        <v>133962.96101277394</v>
      </c>
      <c r="CC121" s="76">
        <f>$L$7*Table53[[#This Row],[Locality''s Allocation Percentage ]]</f>
        <v>155590.84696112573</v>
      </c>
      <c r="CD121" s="76">
        <f t="shared" si="72"/>
        <v>38897.711740281433</v>
      </c>
    </row>
    <row r="122" spans="16:82" s="19" customFormat="1" ht="18" customHeight="1" x14ac:dyDescent="0.25">
      <c r="P122" s="36" t="s">
        <v>187</v>
      </c>
      <c r="Q122" s="37">
        <v>4.4000440004400001E-3</v>
      </c>
      <c r="S122" s="22" t="s">
        <v>187</v>
      </c>
      <c r="T122" s="61">
        <f>($C$5+$D$5+$E$5+$F$5+$G$5+$H$5+$I$5+$J$5+$K$5)*Table53[[#This Row],[Locality''s Allocation Percentage ]]</f>
        <v>17891.939331432939</v>
      </c>
      <c r="U122" s="61">
        <f>($C$6+$D$6+$E$6+$F$6+$G$6+$H$6+$I$6+$J$6+$K$6)*Table53[[#This Row],[Locality''s Allocation Percentage ]]</f>
        <v>113265.73046566723</v>
      </c>
      <c r="V122" s="61">
        <f>($C$7+$D$7+$E$7+$F$7+$G$7+$H$7+$I$7+$J$7+$K$7)*Table53[[#This Row],[Locality''s Allocation Percentage ]]</f>
        <v>139685.62808045343</v>
      </c>
      <c r="W122" s="61">
        <f>($C$8+$D$8+$E$8+$F$8+$G$8+$H$8+$I$8+$J$8+$K$8)*Table53[[#This Row],[Locality''s Allocation Percentage ]]</f>
        <v>53569.129132656111</v>
      </c>
      <c r="X122" s="61">
        <f>($C$9+$D$9+$E$9+$F$9+$G$9+$H$9+$I$9+$J$9+$K$9)*Table53[[#This Row],[Locality''s Allocation Percentage ]]</f>
        <v>57563.491083249886</v>
      </c>
      <c r="Y122" s="61">
        <f>($C$10+$D$10+$E$10+$F$10+$G$10+$H$10+$I$10+$J$10+$K$10)*Table53[[#This Row],[Locality''s Allocation Percentage ]]</f>
        <v>61176.256320116641</v>
      </c>
      <c r="Z122" s="61">
        <f>($C$11+$D$11+$E$11+$F$11+$G$11+$H$11+$I$11+$J$11+$K$11)*Table53[[#This Row],[Locality''s Allocation Percentage ]]</f>
        <v>46607.896954736483</v>
      </c>
      <c r="AA122" s="61">
        <f>($C$12+$D$12+$E$12+$F$12+$G$12+$H$12+$I$12+$J$12+$K$12)*Table53[[#This Row],[Locality''s Allocation Percentage ]]</f>
        <v>65321.30709493265</v>
      </c>
      <c r="AB122" s="61">
        <f>($C$13+$D$13+$E$13+$F$13+$G$13+$H$13+$I$13+$J$13+$K$13)*Table53[[#This Row],[Locality''s Allocation Percentage ]]</f>
        <v>65618.514829247855</v>
      </c>
      <c r="AC122" s="61">
        <f>($C$14+$D$14+$E$14+$F$14+$G$14+$H$14+$I$14+$J$14+$K$14)*Table53[[#This Row],[Locality''s Allocation Percentage ]]</f>
        <v>61438.150872181432</v>
      </c>
      <c r="AD122" s="61">
        <f>($C$15+$D$15+$E$15+$F$15+$G$15+$H$15+$I$15+$J$15+$K$15)*Table53[[#This Row],[Locality''s Allocation Percentage ]]</f>
        <v>57014.980188090449</v>
      </c>
      <c r="AE122" s="61">
        <f>($C$16+$D$16+$E$16+$F$16+$G$16+$H$16+$I$16+$J$16+$K$16)*Table53[[#This Row],[Locality''s Allocation Percentage ]]</f>
        <v>52415.298133711338</v>
      </c>
      <c r="AF122" s="61">
        <f>($C$17+$D$17+$E$17+$F$17+$G$17+$H$17+$I$17+$J$17+$K$17)*Table53[[#This Row],[Locality''s Allocation Percentage ]]</f>
        <v>40000.533094860963</v>
      </c>
      <c r="AG122" s="61">
        <f>($C$18+$D$18+$E$18+$F$18+$G$18+$H$18+$I$18+$J$18+$K$18)*Table53[[#This Row],[Locality''s Allocation Percentage ]]</f>
        <v>40000.533094860963</v>
      </c>
      <c r="AH122" s="61">
        <f>($C$19+$D$19+$E$19+$F$19+$G$19+$H$19+$I$19+$J$19+$K$19)*Table53[[#This Row],[Locality''s Allocation Percentage ]]</f>
        <v>40000.533094860963</v>
      </c>
      <c r="AI122" s="61">
        <f>($C$20+$D$20+$E$20+$F$20+$G$20+$H$20+$I$20+$J$20+$K$20)*Table53[[#This Row],[Locality''s Allocation Percentage ]]</f>
        <v>33234.638269912721</v>
      </c>
      <c r="AJ122" s="61">
        <f>($C$21+$D$21+$E$21+$F$21+$G$21+$H$21+$I$21+$J$21+$K$21)*Table53[[#This Row],[Locality''s Allocation Percentage ]]</f>
        <v>33234.638269912721</v>
      </c>
      <c r="AK122" s="61">
        <f>($C$22+$D$22+$E$22+$F$22+$G$22+$H$22+$I$22+$J$22+$K$22)*Table53[[#This Row],[Locality''s Allocation Percentage ]]</f>
        <v>23268.140164931683</v>
      </c>
      <c r="AL122" s="61"/>
      <c r="AM122" s="61"/>
      <c r="AN122" s="61">
        <f>$L$6*Table53[[#This Row],[Locality''s Allocation Percentage ]]</f>
        <v>40985.485920016676</v>
      </c>
      <c r="AO122" s="61">
        <f>$L$7*Table53[[#This Row],[Locality''s Allocation Percentage ]]</f>
        <v>47442.808498194958</v>
      </c>
      <c r="AP122" s="61">
        <f>$L$8*Table53[[#This Row],[Locality''s Allocation Percentage ]]</f>
        <v>18474.902502152112</v>
      </c>
      <c r="AQ122" s="61">
        <f>$L$9*Table53[[#This Row],[Locality''s Allocation Percentage ]]</f>
        <v>20269.884343487756</v>
      </c>
      <c r="AR122" s="61">
        <f>$L$10*Table53[[#This Row],[Locality''s Allocation Percentage ]]</f>
        <v>21594.5649303389</v>
      </c>
      <c r="AS122" s="61">
        <f>$L$11*Table53[[#This Row],[Locality''s Allocation Percentage ]]</f>
        <v>16252.833163032839</v>
      </c>
      <c r="AT122" s="61">
        <f>$L$12*Table53[[#This Row],[Locality''s Allocation Percentage ]]</f>
        <v>23114.416881104768</v>
      </c>
      <c r="AU122" s="61">
        <f>$L$13*Table53[[#This Row],[Locality''s Allocation Percentage ]]</f>
        <v>23253.145209795275</v>
      </c>
      <c r="AV122" s="61">
        <f>$L$14*Table53[[#This Row],[Locality''s Allocation Percentage ]]</f>
        <v>21625.87265754657</v>
      </c>
      <c r="AW122" s="61">
        <f>$L$15*Table53[[#This Row],[Locality''s Allocation Percentage ]]</f>
        <v>20004.515587755021</v>
      </c>
      <c r="AX122" s="61">
        <f>$L$16*Table53[[#This Row],[Locality''s Allocation Percentage ]]</f>
        <v>18317.965501149345</v>
      </c>
      <c r="AY122" s="61">
        <f>$L$17*Table53[[#This Row],[Locality''s Allocation Percentage ]]</f>
        <v>14301.423870933048</v>
      </c>
      <c r="AZ122" s="61">
        <f>$L$18*Table53[[#This Row],[Locality''s Allocation Percentage ]]</f>
        <v>14301.423870933048</v>
      </c>
      <c r="BA122" s="61">
        <f>$L$19*Table53[[#This Row],[Locality''s Allocation Percentage ]]</f>
        <v>14301.423870933048</v>
      </c>
      <c r="BB122" s="61">
        <f>$L$20*Table53[[#This Row],[Locality''s Allocation Percentage ]]</f>
        <v>11820.595768452027</v>
      </c>
      <c r="BC122" s="61">
        <f>$L$21*Table53[[#This Row],[Locality''s Allocation Percentage ]]</f>
        <v>11820.595768452027</v>
      </c>
      <c r="BD122" s="61">
        <f>$L$22*Table53[[#This Row],[Locality''s Allocation Percentage ]]</f>
        <v>8531.6513938082826</v>
      </c>
      <c r="BE122" s="61"/>
      <c r="BF122" s="61">
        <f t="shared" si="70"/>
        <v>0</v>
      </c>
      <c r="BG122" s="61">
        <f t="shared" si="70"/>
        <v>10246.371480004169</v>
      </c>
      <c r="BH122" s="61">
        <f t="shared" si="75"/>
        <v>11860.702124548739</v>
      </c>
      <c r="BI122" s="61">
        <f t="shared" si="76"/>
        <v>4618.725625538028</v>
      </c>
      <c r="BJ122" s="61">
        <f t="shared" si="77"/>
        <v>5067.4710858719391</v>
      </c>
      <c r="BK122" s="61">
        <f t="shared" si="78"/>
        <v>5398.641232584725</v>
      </c>
      <c r="BL122" s="61">
        <f t="shared" si="79"/>
        <v>4063.2082907582098</v>
      </c>
      <c r="BM122" s="61">
        <f t="shared" si="80"/>
        <v>5778.6042202761919</v>
      </c>
      <c r="BN122" s="61">
        <f t="shared" si="81"/>
        <v>5813.2863024488188</v>
      </c>
      <c r="BO122" s="61">
        <f t="shared" si="82"/>
        <v>5406.4681643866425</v>
      </c>
      <c r="BP122" s="61">
        <f t="shared" si="83"/>
        <v>5001.1288969387551</v>
      </c>
      <c r="BQ122" s="61">
        <f t="shared" si="84"/>
        <v>4579.4913752873363</v>
      </c>
      <c r="BR122" s="61">
        <f t="shared" si="85"/>
        <v>3575.3559677332619</v>
      </c>
      <c r="BS122" s="61">
        <f t="shared" si="86"/>
        <v>3575.3559677332619</v>
      </c>
      <c r="BT122" s="61">
        <f t="shared" si="87"/>
        <v>3575.3559677332619</v>
      </c>
      <c r="BU122" s="61">
        <f t="shared" si="88"/>
        <v>2955.1489421130068</v>
      </c>
      <c r="BV122" s="61">
        <f t="shared" si="89"/>
        <v>2955.1489421130068</v>
      </c>
      <c r="BW122" s="61">
        <f t="shared" si="74"/>
        <v>2132.9128484520706</v>
      </c>
      <c r="BX122" s="61"/>
      <c r="BY122" s="61">
        <f>($C$6+$D$6+$E$6)*Table53[[#This Row],[Locality''s Allocation Percentage ]]</f>
        <v>113265.73046566723</v>
      </c>
      <c r="BZ122" s="61">
        <f>$L$6*Table53[[#This Row],[Locality''s Allocation Percentage ]]</f>
        <v>40985.485920016676</v>
      </c>
      <c r="CA122" s="61">
        <f t="shared" si="71"/>
        <v>10246.371480004169</v>
      </c>
      <c r="CB122" s="76">
        <f>($C$7+$D$7+$E$7)*Table53[[#This Row],[Locality''s Allocation Percentage ]]</f>
        <v>40848.02692004195</v>
      </c>
      <c r="CC122" s="76">
        <f>$L$7*Table53[[#This Row],[Locality''s Allocation Percentage ]]</f>
        <v>47442.808498194958</v>
      </c>
      <c r="CD122" s="76">
        <f t="shared" si="72"/>
        <v>11860.702124548739</v>
      </c>
    </row>
    <row r="123" spans="16:82" s="19" customFormat="1" ht="18" customHeight="1" x14ac:dyDescent="0.25">
      <c r="P123" s="36" t="s">
        <v>188</v>
      </c>
      <c r="Q123" s="37">
        <v>7.1000710007100096E-3</v>
      </c>
      <c r="S123" s="22" t="s">
        <v>188</v>
      </c>
      <c r="T123" s="61">
        <f>($C$5+$D$5+$E$5+$F$5+$G$5+$H$5+$I$5+$J$5+$K$5)*Table53[[#This Row],[Locality''s Allocation Percentage ]]</f>
        <v>28871.083921175919</v>
      </c>
      <c r="U123" s="61">
        <f>($C$6+$D$6+$E$6+$F$6+$G$6+$H$6+$I$6+$J$6+$K$6)*Table53[[#This Row],[Locality''s Allocation Percentage ]]</f>
        <v>182769.70143323601</v>
      </c>
      <c r="V123" s="61">
        <f>($C$7+$D$7+$E$7+$F$7+$G$7+$H$7+$I$7+$J$7+$K$7)*Table53[[#This Row],[Locality''s Allocation Percentage ]]</f>
        <v>225401.80894800471</v>
      </c>
      <c r="W123" s="61">
        <f>($C$8+$D$8+$E$8+$F$8+$G$8+$H$8+$I$8+$J$8+$K$8)*Table53[[#This Row],[Locality''s Allocation Percentage ]]</f>
        <v>86441.094736786123</v>
      </c>
      <c r="X123" s="61">
        <f>($C$9+$D$9+$E$9+$F$9+$G$9+$H$9+$I$9+$J$9+$K$9)*Table53[[#This Row],[Locality''s Allocation Percentage ]]</f>
        <v>92886.542429789712</v>
      </c>
      <c r="Y123" s="61">
        <f>($C$10+$D$10+$E$10+$F$10+$G$10+$H$10+$I$10+$J$10+$K$10)*Table53[[#This Row],[Locality''s Allocation Percentage ]]</f>
        <v>98716.231789279249</v>
      </c>
      <c r="Z123" s="61">
        <f>($C$11+$D$11+$E$11+$F$11+$G$11+$H$11+$I$11+$J$11+$K$11)*Table53[[#This Row],[Locality''s Allocation Percentage ]]</f>
        <v>75208.19735877942</v>
      </c>
      <c r="AA123" s="61">
        <f>($C$12+$D$12+$E$12+$F$12+$G$12+$H$12+$I$12+$J$12+$K$12)*Table53[[#This Row],[Locality''s Allocation Percentage ]]</f>
        <v>105404.83644864145</v>
      </c>
      <c r="AB123" s="61">
        <f>($C$13+$D$13+$E$13+$F$13+$G$13+$H$13+$I$13+$J$13+$K$13)*Table53[[#This Row],[Locality''s Allocation Percentage ]]</f>
        <v>105884.42165628646</v>
      </c>
      <c r="AC123" s="61">
        <f>($C$14+$D$14+$E$14+$F$14+$G$14+$H$14+$I$14+$J$14+$K$14)*Table53[[#This Row],[Locality''s Allocation Percentage ]]</f>
        <v>99138.834361929257</v>
      </c>
      <c r="AD123" s="61">
        <f>($C$15+$D$15+$E$15+$F$15+$G$15+$H$15+$I$15+$J$15+$K$15)*Table53[[#This Row],[Locality''s Allocation Percentage ]]</f>
        <v>92001.44530350971</v>
      </c>
      <c r="AE123" s="61">
        <f>($C$16+$D$16+$E$16+$F$16+$G$16+$H$16+$I$16+$J$16+$K$16)*Table53[[#This Row],[Locality''s Allocation Percentage ]]</f>
        <v>84579.231079397956</v>
      </c>
      <c r="AF123" s="61">
        <f>($C$17+$D$17+$E$17+$F$17+$G$17+$H$17+$I$17+$J$17+$K$17)*Table53[[#This Row],[Locality''s Allocation Percentage ]]</f>
        <v>64546.314766707546</v>
      </c>
      <c r="AG123" s="61">
        <f>($C$18+$D$18+$E$18+$F$18+$G$18+$H$18+$I$18+$J$18+$K$18)*Table53[[#This Row],[Locality''s Allocation Percentage ]]</f>
        <v>64546.314766707546</v>
      </c>
      <c r="AH123" s="61">
        <f>($C$19+$D$19+$E$19+$F$19+$G$19+$H$19+$I$19+$J$19+$K$19)*Table53[[#This Row],[Locality''s Allocation Percentage ]]</f>
        <v>64546.314766707546</v>
      </c>
      <c r="AI123" s="61">
        <f>($C$20+$D$20+$E$20+$F$20+$G$20+$H$20+$I$20+$J$20+$K$20)*Table53[[#This Row],[Locality''s Allocation Percentage ]]</f>
        <v>53628.620844631958</v>
      </c>
      <c r="AJ123" s="61">
        <f>($C$21+$D$21+$E$21+$F$21+$G$21+$H$21+$I$21+$J$21+$K$21)*Table53[[#This Row],[Locality''s Allocation Percentage ]]</f>
        <v>53628.620844631958</v>
      </c>
      <c r="AK123" s="61">
        <f>($C$22+$D$22+$E$22+$F$22+$G$22+$H$22+$I$22+$J$22+$K$22)*Table53[[#This Row],[Locality''s Allocation Percentage ]]</f>
        <v>37546.317084321628</v>
      </c>
      <c r="AL123" s="61"/>
      <c r="AM123" s="61"/>
      <c r="AN123" s="61">
        <f>$L$6*Table53[[#This Row],[Locality''s Allocation Percentage ]]</f>
        <v>66135.670461845177</v>
      </c>
      <c r="AO123" s="61">
        <f>$L$7*Table53[[#This Row],[Locality''s Allocation Percentage ]]</f>
        <v>76555.440985723777</v>
      </c>
      <c r="AP123" s="61">
        <f>$L$8*Table53[[#This Row],[Locality''s Allocation Percentage ]]</f>
        <v>29811.774492109133</v>
      </c>
      <c r="AQ123" s="61">
        <f>$L$9*Table53[[#This Row],[Locality''s Allocation Percentage ]]</f>
        <v>32708.222463355287</v>
      </c>
      <c r="AR123" s="61">
        <f>$L$10*Table53[[#This Row],[Locality''s Allocation Percentage ]]</f>
        <v>34845.77522850145</v>
      </c>
      <c r="AS123" s="61">
        <f>$L$11*Table53[[#This Row],[Locality''s Allocation Percentage ]]</f>
        <v>26226.162603984842</v>
      </c>
      <c r="AT123" s="61">
        <f>$L$12*Table53[[#This Row],[Locality''s Allocation Percentage ]]</f>
        <v>37298.263603600928</v>
      </c>
      <c r="AU123" s="61">
        <f>$L$13*Table53[[#This Row],[Locality''s Allocation Percentage ]]</f>
        <v>37522.120679442422</v>
      </c>
      <c r="AV123" s="61">
        <f>$L$14*Table53[[#This Row],[Locality''s Allocation Percentage ]]</f>
        <v>34896.29451558656</v>
      </c>
      <c r="AW123" s="61">
        <f>$L$15*Table53[[#This Row],[Locality''s Allocation Percentage ]]</f>
        <v>32280.01378933201</v>
      </c>
      <c r="AX123" s="61">
        <f>$L$16*Table53[[#This Row],[Locality''s Allocation Percentage ]]</f>
        <v>29558.53524049103</v>
      </c>
      <c r="AY123" s="61">
        <f>$L$17*Table53[[#This Row],[Locality''s Allocation Percentage ]]</f>
        <v>23077.29760991472</v>
      </c>
      <c r="AZ123" s="61">
        <f>$L$18*Table53[[#This Row],[Locality''s Allocation Percentage ]]</f>
        <v>23077.29760991472</v>
      </c>
      <c r="BA123" s="61">
        <f>$L$19*Table53[[#This Row],[Locality''s Allocation Percentage ]]</f>
        <v>23077.29760991472</v>
      </c>
      <c r="BB123" s="61">
        <f>$L$20*Table53[[#This Row],[Locality''s Allocation Percentage ]]</f>
        <v>19074.143171820342</v>
      </c>
      <c r="BC123" s="61">
        <f>$L$21*Table53[[#This Row],[Locality''s Allocation Percentage ]]</f>
        <v>19074.143171820342</v>
      </c>
      <c r="BD123" s="61">
        <f>$L$22*Table53[[#This Row],[Locality''s Allocation Percentage ]]</f>
        <v>13766.982930917929</v>
      </c>
      <c r="BE123" s="61"/>
      <c r="BF123" s="61">
        <f t="shared" si="70"/>
        <v>0</v>
      </c>
      <c r="BG123" s="61">
        <f t="shared" si="70"/>
        <v>16533.917615461294</v>
      </c>
      <c r="BH123" s="61">
        <f t="shared" si="75"/>
        <v>19138.860246430944</v>
      </c>
      <c r="BI123" s="61">
        <f t="shared" si="76"/>
        <v>7452.9436230272831</v>
      </c>
      <c r="BJ123" s="61">
        <f t="shared" si="77"/>
        <v>8177.0556158388217</v>
      </c>
      <c r="BK123" s="61">
        <f t="shared" si="78"/>
        <v>8711.4438071253626</v>
      </c>
      <c r="BL123" s="61">
        <f t="shared" si="79"/>
        <v>6556.5406509962104</v>
      </c>
      <c r="BM123" s="61">
        <f t="shared" si="80"/>
        <v>9324.565900900232</v>
      </c>
      <c r="BN123" s="61">
        <f t="shared" si="81"/>
        <v>9380.5301698606054</v>
      </c>
      <c r="BO123" s="61">
        <f t="shared" si="82"/>
        <v>8724.07362889664</v>
      </c>
      <c r="BP123" s="61">
        <f t="shared" si="83"/>
        <v>8070.0034473330024</v>
      </c>
      <c r="BQ123" s="61">
        <f t="shared" si="84"/>
        <v>7389.6338101227575</v>
      </c>
      <c r="BR123" s="61">
        <f t="shared" si="85"/>
        <v>5769.32440247868</v>
      </c>
      <c r="BS123" s="61">
        <f t="shared" si="86"/>
        <v>5769.32440247868</v>
      </c>
      <c r="BT123" s="61">
        <f t="shared" si="87"/>
        <v>5769.32440247868</v>
      </c>
      <c r="BU123" s="61">
        <f t="shared" si="88"/>
        <v>4768.5357929550855</v>
      </c>
      <c r="BV123" s="61">
        <f t="shared" si="89"/>
        <v>4768.5357929550855</v>
      </c>
      <c r="BW123" s="61">
        <f t="shared" si="74"/>
        <v>3441.7457327294824</v>
      </c>
      <c r="BX123" s="61"/>
      <c r="BY123" s="61">
        <f>($C$6+$D$6+$E$6)*Table53[[#This Row],[Locality''s Allocation Percentage ]]</f>
        <v>182769.70143323601</v>
      </c>
      <c r="BZ123" s="61">
        <f>$L$6*Table53[[#This Row],[Locality''s Allocation Percentage ]]</f>
        <v>66135.670461845177</v>
      </c>
      <c r="CA123" s="61">
        <f t="shared" si="71"/>
        <v>16533.917615461294</v>
      </c>
      <c r="CB123" s="76">
        <f>($C$7+$D$7+$E$7)*Table53[[#This Row],[Locality''s Allocation Percentage ]]</f>
        <v>65913.861620976866</v>
      </c>
      <c r="CC123" s="76">
        <f>$L$7*Table53[[#This Row],[Locality''s Allocation Percentage ]]</f>
        <v>76555.440985723777</v>
      </c>
      <c r="CD123" s="76">
        <f t="shared" si="72"/>
        <v>19138.860246430944</v>
      </c>
    </row>
    <row r="124" spans="16:82" s="19" customFormat="1" ht="18" customHeight="1" x14ac:dyDescent="0.25">
      <c r="P124" s="36" t="s">
        <v>308</v>
      </c>
      <c r="Q124" s="37">
        <v>5.8000580005799997E-4</v>
      </c>
      <c r="S124" s="22" t="s">
        <v>189</v>
      </c>
      <c r="T124" s="61">
        <f>($C$5+$D$5+$E$5+$F$5+$G$5+$H$5+$I$5+$J$5+$K$5)*Table53[[#This Row],[Locality''s Allocation Percentage ]]</f>
        <v>2358.4829118707053</v>
      </c>
      <c r="U124" s="61">
        <f>($C$6+$D$6+$E$6+$F$6+$G$6+$H$6+$I$6+$J$6+$K$6)*Table53[[#This Row],[Locality''s Allocation Percentage ]]</f>
        <v>14930.482652292498</v>
      </c>
      <c r="V124" s="61">
        <f>($C$7+$D$7+$E$7+$F$7+$G$7+$H$7+$I$7+$J$7+$K$7)*Table53[[#This Row],[Locality''s Allocation Percentage ]]</f>
        <v>18413.105519696132</v>
      </c>
      <c r="W124" s="61">
        <f>($C$8+$D$8+$E$8+$F$8+$G$8+$H$8+$I$8+$J$8+$K$8)*Table53[[#This Row],[Locality''s Allocation Percentage ]]</f>
        <v>7061.3852038501236</v>
      </c>
      <c r="X124" s="61">
        <f>($C$9+$D$9+$E$9+$F$9+$G$9+$H$9+$I$9+$J$9+$K$9)*Table53[[#This Row],[Locality''s Allocation Percentage ]]</f>
        <v>7587.9147337011209</v>
      </c>
      <c r="Y124" s="61">
        <f>($C$10+$D$10+$E$10+$F$10+$G$10+$H$10+$I$10+$J$10+$K$10)*Table53[[#This Row],[Locality''s Allocation Percentage ]]</f>
        <v>8064.1428785608286</v>
      </c>
      <c r="Z124" s="61">
        <f>($C$11+$D$11+$E$11+$F$11+$G$11+$H$11+$I$11+$J$11+$K$11)*Table53[[#This Row],[Locality''s Allocation Percentage ]]</f>
        <v>6143.7682349425359</v>
      </c>
      <c r="AA124" s="61">
        <f>($C$12+$D$12+$E$12+$F$12+$G$12+$H$12+$I$12+$J$12+$K$12)*Table53[[#This Row],[Locality''s Allocation Percentage ]]</f>
        <v>8610.5359352411215</v>
      </c>
      <c r="AB124" s="61">
        <f>($C$13+$D$13+$E$13+$F$13+$G$13+$H$13+$I$13+$J$13+$K$13)*Table53[[#This Row],[Locality''s Allocation Percentage ]]</f>
        <v>8649.7133184008544</v>
      </c>
      <c r="AC124" s="61">
        <f>($C$14+$D$14+$E$14+$F$14+$G$14+$H$14+$I$14+$J$14+$K$14)*Table53[[#This Row],[Locality''s Allocation Percentage ]]</f>
        <v>8098.6653422420968</v>
      </c>
      <c r="AD124" s="61">
        <f>($C$15+$D$15+$E$15+$F$15+$G$15+$H$15+$I$15+$J$15+$K$15)*Table53[[#This Row],[Locality''s Allocation Percentage ]]</f>
        <v>7515.6110247937404</v>
      </c>
      <c r="AE124" s="61">
        <f>($C$16+$D$16+$E$16+$F$16+$G$16+$H$16+$I$16+$J$16+$K$16)*Table53[[#This Row],[Locality''s Allocation Percentage ]]</f>
        <v>6909.289299443767</v>
      </c>
      <c r="AF124" s="61">
        <f>($C$17+$D$17+$E$17+$F$17+$G$17+$H$17+$I$17+$J$17+$K$17)*Table53[[#This Row],[Locality''s Allocation Percentage ]]</f>
        <v>5272.7975443225805</v>
      </c>
      <c r="AG124" s="61">
        <f>($C$18+$D$18+$E$18+$F$18+$G$18+$H$18+$I$18+$J$18+$K$18)*Table53[[#This Row],[Locality''s Allocation Percentage ]]</f>
        <v>5272.7975443225805</v>
      </c>
      <c r="AH124" s="61">
        <f>($C$19+$D$19+$E$19+$F$19+$G$19+$H$19+$I$19+$J$19+$K$19)*Table53[[#This Row],[Locality''s Allocation Percentage ]]</f>
        <v>5272.7975443225805</v>
      </c>
      <c r="AI124" s="61">
        <f>($C$20+$D$20+$E$20+$F$20+$G$20+$H$20+$I$20+$J$20+$K$20)*Table53[[#This Row],[Locality''s Allocation Percentage ]]</f>
        <v>4380.9295901248579</v>
      </c>
      <c r="AJ124" s="61">
        <f>($C$21+$D$21+$E$21+$F$21+$G$21+$H$21+$I$21+$J$21+$K$21)*Table53[[#This Row],[Locality''s Allocation Percentage ]]</f>
        <v>4380.9295901248579</v>
      </c>
      <c r="AK124" s="61">
        <f>($C$22+$D$22+$E$22+$F$22+$G$22+$H$22+$I$22+$J$22+$K$22)*Table53[[#This Row],[Locality''s Allocation Percentage ]]</f>
        <v>3067.1639308319031</v>
      </c>
      <c r="AL124" s="61"/>
      <c r="AM124" s="61"/>
      <c r="AN124" s="61">
        <f>$L$6*Table53[[#This Row],[Locality''s Allocation Percentage ]]</f>
        <v>5402.6322349112888</v>
      </c>
      <c r="AO124" s="61">
        <f>$L$7*Table53[[#This Row],[Locality''s Allocation Percentage ]]</f>
        <v>6253.824756580243</v>
      </c>
      <c r="AP124" s="61">
        <f>$L$8*Table53[[#This Row],[Locality''s Allocation Percentage ]]</f>
        <v>2435.3280571018695</v>
      </c>
      <c r="AQ124" s="61">
        <f>$L$9*Table53[[#This Row],[Locality''s Allocation Percentage ]]</f>
        <v>2671.9392998233857</v>
      </c>
      <c r="AR124" s="61">
        <f>$L$10*Table53[[#This Row],[Locality''s Allocation Percentage ]]</f>
        <v>2846.5562862719457</v>
      </c>
      <c r="AS124" s="61">
        <f>$L$11*Table53[[#This Row],[Locality''s Allocation Percentage ]]</f>
        <v>2142.4189169452375</v>
      </c>
      <c r="AT124" s="61">
        <f>$L$12*Table53[[#This Row],[Locality''s Allocation Percentage ]]</f>
        <v>3046.9004070547194</v>
      </c>
      <c r="AU124" s="61">
        <f>$L$13*Table53[[#This Row],[Locality''s Allocation Percentage ]]</f>
        <v>3065.1873231093768</v>
      </c>
      <c r="AV124" s="61">
        <f>$L$14*Table53[[#This Row],[Locality''s Allocation Percentage ]]</f>
        <v>2850.6832139493204</v>
      </c>
      <c r="AW124" s="61">
        <f>$L$15*Table53[[#This Row],[Locality''s Allocation Percentage ]]</f>
        <v>2636.9588729313436</v>
      </c>
      <c r="AX124" s="61">
        <f>$L$16*Table53[[#This Row],[Locality''s Allocation Percentage ]]</f>
        <v>2414.6409069696865</v>
      </c>
      <c r="AY124" s="61">
        <f>$L$17*Table53[[#This Row],[Locality''s Allocation Percentage ]]</f>
        <v>1885.187692077538</v>
      </c>
      <c r="AZ124" s="61">
        <f>$L$18*Table53[[#This Row],[Locality''s Allocation Percentage ]]</f>
        <v>1885.187692077538</v>
      </c>
      <c r="BA124" s="61">
        <f>$L$19*Table53[[#This Row],[Locality''s Allocation Percentage ]]</f>
        <v>1885.187692077538</v>
      </c>
      <c r="BB124" s="61">
        <f>$L$20*Table53[[#This Row],[Locality''s Allocation Percentage ]]</f>
        <v>1558.1694422050398</v>
      </c>
      <c r="BC124" s="61">
        <f>$L$21*Table53[[#This Row],[Locality''s Allocation Percentage ]]</f>
        <v>1558.1694422050398</v>
      </c>
      <c r="BD124" s="61">
        <f>$L$22*Table53[[#This Row],[Locality''s Allocation Percentage ]]</f>
        <v>1124.6267746383644</v>
      </c>
      <c r="BE124" s="61"/>
      <c r="BF124" s="61">
        <f t="shared" si="70"/>
        <v>0</v>
      </c>
      <c r="BG124" s="61">
        <f t="shared" si="70"/>
        <v>1350.6580587278222</v>
      </c>
      <c r="BH124" s="61">
        <f t="shared" si="75"/>
        <v>1563.4561891450608</v>
      </c>
      <c r="BI124" s="61">
        <f t="shared" si="76"/>
        <v>608.83201427546737</v>
      </c>
      <c r="BJ124" s="61">
        <f t="shared" si="77"/>
        <v>667.98482495584642</v>
      </c>
      <c r="BK124" s="61">
        <f t="shared" si="78"/>
        <v>711.63907156798643</v>
      </c>
      <c r="BL124" s="61">
        <f t="shared" si="79"/>
        <v>535.60472923630937</v>
      </c>
      <c r="BM124" s="61">
        <f t="shared" si="80"/>
        <v>761.72510176367985</v>
      </c>
      <c r="BN124" s="61">
        <f t="shared" si="81"/>
        <v>766.29683077734421</v>
      </c>
      <c r="BO124" s="61">
        <f t="shared" si="82"/>
        <v>712.67080348733009</v>
      </c>
      <c r="BP124" s="61">
        <f t="shared" si="83"/>
        <v>659.23971823283591</v>
      </c>
      <c r="BQ124" s="61">
        <f t="shared" si="84"/>
        <v>603.66022674242163</v>
      </c>
      <c r="BR124" s="61">
        <f t="shared" si="85"/>
        <v>471.29692301938451</v>
      </c>
      <c r="BS124" s="61">
        <f t="shared" si="86"/>
        <v>471.29692301938451</v>
      </c>
      <c r="BT124" s="61">
        <f t="shared" si="87"/>
        <v>471.29692301938451</v>
      </c>
      <c r="BU124" s="61">
        <f t="shared" si="88"/>
        <v>389.54236055125995</v>
      </c>
      <c r="BV124" s="61">
        <f t="shared" si="89"/>
        <v>389.54236055125995</v>
      </c>
      <c r="BW124" s="61">
        <f t="shared" si="74"/>
        <v>281.1566936595911</v>
      </c>
      <c r="BX124" s="61"/>
      <c r="BY124" s="61">
        <f>($C$6+$D$6+$E$6)*Table53[[#This Row],[Locality''s Allocation Percentage ]]</f>
        <v>14930.482652292498</v>
      </c>
      <c r="BZ124" s="61">
        <f>$L$6*Table53[[#This Row],[Locality''s Allocation Percentage ]]</f>
        <v>5402.6322349112888</v>
      </c>
      <c r="CA124" s="61">
        <f t="shared" si="71"/>
        <v>1350.6580587278222</v>
      </c>
      <c r="CB124" s="76">
        <f>($C$7+$D$7+$E$7)*Table53[[#This Row],[Locality''s Allocation Percentage ]]</f>
        <v>5384.5126394600748</v>
      </c>
      <c r="CC124" s="76">
        <f>$L$7*Table53[[#This Row],[Locality''s Allocation Percentage ]]</f>
        <v>6253.824756580243</v>
      </c>
      <c r="CD124" s="76">
        <f t="shared" si="72"/>
        <v>1563.4561891450608</v>
      </c>
    </row>
    <row r="125" spans="16:82" s="19" customFormat="1" ht="18" customHeight="1" x14ac:dyDescent="0.25">
      <c r="P125" s="36" t="s">
        <v>309</v>
      </c>
      <c r="Q125" s="37">
        <v>8.1000810008099999E-4</v>
      </c>
      <c r="S125" s="22" t="s">
        <v>190</v>
      </c>
      <c r="T125" s="61">
        <f>($C$5+$D$5+$E$5+$F$5+$G$5+$H$5+$I$5+$J$5+$K$5)*Table53[[#This Row],[Locality''s Allocation Percentage ]]</f>
        <v>3293.7433769228819</v>
      </c>
      <c r="U125" s="61">
        <f>($C$6+$D$6+$E$6+$F$6+$G$6+$H$6+$I$6+$J$6+$K$6)*Table53[[#This Row],[Locality''s Allocation Percentage ]]</f>
        <v>20851.191290270559</v>
      </c>
      <c r="V125" s="61">
        <f>($C$7+$D$7+$E$7+$F$7+$G$7+$H$7+$I$7+$J$7+$K$7)*Table53[[#This Row],[Locality''s Allocation Percentage ]]</f>
        <v>25714.854260265289</v>
      </c>
      <c r="W125" s="61">
        <f>($C$8+$D$8+$E$8+$F$8+$G$8+$H$8+$I$8+$J$8+$K$8)*Table53[[#This Row],[Locality''s Allocation Percentage ]]</f>
        <v>9861.5896812389656</v>
      </c>
      <c r="X125" s="61">
        <f>($C$9+$D$9+$E$9+$F$9+$G$9+$H$9+$I$9+$J$9+$K$9)*Table53[[#This Row],[Locality''s Allocation Percentage ]]</f>
        <v>10596.91540396191</v>
      </c>
      <c r="Y125" s="61">
        <f>($C$10+$D$10+$E$10+$F$10+$G$10+$H$10+$I$10+$J$10+$K$10)*Table53[[#This Row],[Locality''s Allocation Percentage ]]</f>
        <v>11261.992640748744</v>
      </c>
      <c r="Z125" s="61">
        <f>($C$11+$D$11+$E$11+$F$11+$G$11+$H$11+$I$11+$J$11+$K$11)*Table53[[#This Row],[Locality''s Allocation Percentage ]]</f>
        <v>8580.090121212852</v>
      </c>
      <c r="AA125" s="61">
        <f>($C$12+$D$12+$E$12+$F$12+$G$12+$H$12+$I$12+$J$12+$K$12)*Table53[[#This Row],[Locality''s Allocation Percentage ]]</f>
        <v>12025.0588061126</v>
      </c>
      <c r="AB125" s="61">
        <f>($C$13+$D$13+$E$13+$F$13+$G$13+$H$13+$I$13+$J$13+$K$13)*Table53[[#This Row],[Locality''s Allocation Percentage ]]</f>
        <v>12079.772048111538</v>
      </c>
      <c r="AC125" s="61">
        <f>($C$14+$D$14+$E$14+$F$14+$G$14+$H$14+$I$14+$J$14+$K$14)*Table53[[#This Row],[Locality''s Allocation Percentage ]]</f>
        <v>11310.205046924309</v>
      </c>
      <c r="AD125" s="61">
        <f>($C$15+$D$15+$E$15+$F$15+$G$15+$H$15+$I$15+$J$15+$K$15)*Table53[[#This Row],[Locality''s Allocation Percentage ]]</f>
        <v>10495.939534625742</v>
      </c>
      <c r="AE125" s="61">
        <f>($C$16+$D$16+$E$16+$F$16+$G$16+$H$16+$I$16+$J$16+$K$16)*Table53[[#This Row],[Locality''s Allocation Percentage ]]</f>
        <v>9649.1798837059505</v>
      </c>
      <c r="AF125" s="61">
        <f>($C$17+$D$17+$E$17+$F$17+$G$17+$H$17+$I$17+$J$17+$K$17)*Table53[[#This Row],[Locality''s Allocation Percentage ]]</f>
        <v>7363.7345015539495</v>
      </c>
      <c r="AG125" s="61">
        <f>($C$18+$D$18+$E$18+$F$18+$G$18+$H$18+$I$18+$J$18+$K$18)*Table53[[#This Row],[Locality''s Allocation Percentage ]]</f>
        <v>7363.7345015539495</v>
      </c>
      <c r="AH125" s="61">
        <f>($C$19+$D$19+$E$19+$F$19+$G$19+$H$19+$I$19+$J$19+$K$19)*Table53[[#This Row],[Locality''s Allocation Percentage ]]</f>
        <v>7363.7345015539495</v>
      </c>
      <c r="AI125" s="61">
        <f>($C$20+$D$20+$E$20+$F$20+$G$20+$H$20+$I$20+$J$20+$K$20)*Table53[[#This Row],[Locality''s Allocation Percentage ]]</f>
        <v>6118.1947724157499</v>
      </c>
      <c r="AJ125" s="61">
        <f>($C$21+$D$21+$E$21+$F$21+$G$21+$H$21+$I$21+$J$21+$K$21)*Table53[[#This Row],[Locality''s Allocation Percentage ]]</f>
        <v>6118.1947724157499</v>
      </c>
      <c r="AK125" s="61">
        <f>($C$22+$D$22+$E$22+$F$22+$G$22+$H$22+$I$22+$J$22+$K$22)*Table53[[#This Row],[Locality''s Allocation Percentage ]]</f>
        <v>4283.4530758169685</v>
      </c>
      <c r="AL125" s="61"/>
      <c r="AM125" s="61"/>
      <c r="AN125" s="61">
        <f>$L$6*Table53[[#This Row],[Locality''s Allocation Percentage ]]</f>
        <v>7545.0553625485245</v>
      </c>
      <c r="AO125" s="61">
        <f>$L$7*Table53[[#This Row],[Locality''s Allocation Percentage ]]</f>
        <v>8733.789746258617</v>
      </c>
      <c r="AP125" s="61">
        <f>$L$8*Table53[[#This Row],[Locality''s Allocation Percentage ]]</f>
        <v>3401.0615969870937</v>
      </c>
      <c r="AQ125" s="61">
        <f>$L$9*Table53[[#This Row],[Locality''s Allocation Percentage ]]</f>
        <v>3731.501435960246</v>
      </c>
      <c r="AR125" s="61">
        <f>$L$10*Table53[[#This Row],[Locality''s Allocation Percentage ]]</f>
        <v>3975.3630894487519</v>
      </c>
      <c r="AS125" s="61">
        <f>$L$11*Table53[[#This Row],[Locality''s Allocation Percentage ]]</f>
        <v>2991.9988322855907</v>
      </c>
      <c r="AT125" s="61">
        <f>$L$12*Table53[[#This Row],[Locality''s Allocation Percentage ]]</f>
        <v>4255.154016748832</v>
      </c>
      <c r="AU125" s="61">
        <f>$L$13*Table53[[#This Row],[Locality''s Allocation Percentage ]]</f>
        <v>4280.6926408941299</v>
      </c>
      <c r="AV125" s="61">
        <f>$L$14*Table53[[#This Row],[Locality''s Allocation Percentage ]]</f>
        <v>3981.1265574119825</v>
      </c>
      <c r="AW125" s="61">
        <f>$L$15*Table53[[#This Row],[Locality''s Allocation Percentage ]]</f>
        <v>3682.6494604730833</v>
      </c>
      <c r="AX125" s="61">
        <f>$L$16*Table53[[#This Row],[Locality''s Allocation Percentage ]]</f>
        <v>3372.170921802493</v>
      </c>
      <c r="AY125" s="61">
        <f>$L$17*Table53[[#This Row],[Locality''s Allocation Percentage ]]</f>
        <v>2632.7621216944926</v>
      </c>
      <c r="AZ125" s="61">
        <f>$L$18*Table53[[#This Row],[Locality''s Allocation Percentage ]]</f>
        <v>2632.7621216944926</v>
      </c>
      <c r="BA125" s="61">
        <f>$L$19*Table53[[#This Row],[Locality''s Allocation Percentage ]]</f>
        <v>2632.7621216944926</v>
      </c>
      <c r="BB125" s="61">
        <f>$L$20*Table53[[#This Row],[Locality''s Allocation Percentage ]]</f>
        <v>2176.0642210104866</v>
      </c>
      <c r="BC125" s="61">
        <f>$L$21*Table53[[#This Row],[Locality''s Allocation Percentage ]]</f>
        <v>2176.0642210104866</v>
      </c>
      <c r="BD125" s="61">
        <f>$L$22*Table53[[#This Row],[Locality''s Allocation Percentage ]]</f>
        <v>1570.5994611328883</v>
      </c>
      <c r="BE125" s="61"/>
      <c r="BF125" s="61">
        <f t="shared" si="70"/>
        <v>0</v>
      </c>
      <c r="BG125" s="61">
        <f t="shared" si="70"/>
        <v>1886.2638406371311</v>
      </c>
      <c r="BH125" s="61">
        <f t="shared" si="75"/>
        <v>2183.4474365646543</v>
      </c>
      <c r="BI125" s="61">
        <f t="shared" si="76"/>
        <v>850.26539924677343</v>
      </c>
      <c r="BJ125" s="61">
        <f t="shared" si="77"/>
        <v>932.8753589900615</v>
      </c>
      <c r="BK125" s="61">
        <f t="shared" si="78"/>
        <v>993.84077236218798</v>
      </c>
      <c r="BL125" s="61">
        <f t="shared" si="79"/>
        <v>747.99970807139766</v>
      </c>
      <c r="BM125" s="61">
        <f t="shared" si="80"/>
        <v>1063.788504187208</v>
      </c>
      <c r="BN125" s="61">
        <f t="shared" si="81"/>
        <v>1070.1731602235325</v>
      </c>
      <c r="BO125" s="61">
        <f t="shared" si="82"/>
        <v>995.28163935299563</v>
      </c>
      <c r="BP125" s="61">
        <f t="shared" si="83"/>
        <v>920.66236511827083</v>
      </c>
      <c r="BQ125" s="61">
        <f t="shared" si="84"/>
        <v>843.04273045062325</v>
      </c>
      <c r="BR125" s="61">
        <f t="shared" si="85"/>
        <v>658.19053042362316</v>
      </c>
      <c r="BS125" s="61">
        <f t="shared" si="86"/>
        <v>658.19053042362316</v>
      </c>
      <c r="BT125" s="61">
        <f t="shared" si="87"/>
        <v>658.19053042362316</v>
      </c>
      <c r="BU125" s="61">
        <f t="shared" si="88"/>
        <v>544.01605525262164</v>
      </c>
      <c r="BV125" s="61">
        <f t="shared" si="89"/>
        <v>544.01605525262164</v>
      </c>
      <c r="BW125" s="61">
        <f t="shared" si="74"/>
        <v>392.64986528322208</v>
      </c>
      <c r="BX125" s="61"/>
      <c r="BY125" s="61">
        <f>($C$6+$D$6+$E$6)*Table53[[#This Row],[Locality''s Allocation Percentage ]]</f>
        <v>20851.191290270559</v>
      </c>
      <c r="BZ125" s="61">
        <f>$L$6*Table53[[#This Row],[Locality''s Allocation Percentage ]]</f>
        <v>7545.0553625485245</v>
      </c>
      <c r="CA125" s="61">
        <f t="shared" si="71"/>
        <v>1886.2638406371311</v>
      </c>
      <c r="CB125" s="76">
        <f>($C$7+$D$7+$E$7)*Table53[[#This Row],[Locality''s Allocation Percentage ]]</f>
        <v>7519.7504102804496</v>
      </c>
      <c r="CC125" s="76">
        <f>$L$7*Table53[[#This Row],[Locality''s Allocation Percentage ]]</f>
        <v>8733.789746258617</v>
      </c>
      <c r="CD125" s="76">
        <f t="shared" si="72"/>
        <v>2183.4474365646543</v>
      </c>
    </row>
    <row r="126" spans="16:82" s="19" customFormat="1" ht="18" customHeight="1" x14ac:dyDescent="0.25">
      <c r="P126" s="36" t="s">
        <v>310</v>
      </c>
      <c r="Q126" s="37">
        <v>1.6060160601606002E-2</v>
      </c>
      <c r="S126" s="22" t="s">
        <v>12</v>
      </c>
      <c r="T126" s="61">
        <f>($C$5+$D$5+$E$5+$F$5+$G$5+$H$5+$I$5+$J$5+$K$5)*Table53[[#This Row],[Locality''s Allocation Percentage ]]</f>
        <v>65305.578559730231</v>
      </c>
      <c r="U126" s="61">
        <f>($C$6+$D$6+$E$6+$F$6+$G$6+$H$6+$I$6+$J$6+$K$6)*Table53[[#This Row],[Locality''s Allocation Percentage ]]</f>
        <v>413419.91619968542</v>
      </c>
      <c r="V126" s="61">
        <f>($C$7+$D$7+$E$7+$F$7+$G$7+$H$7+$I$7+$J$7+$K$7)*Table53[[#This Row],[Locality''s Allocation Percentage ]]</f>
        <v>509852.54249365506</v>
      </c>
      <c r="W126" s="61">
        <f>($C$8+$D$8+$E$8+$F$8+$G$8+$H$8+$I$8+$J$8+$K$8)*Table53[[#This Row],[Locality''s Allocation Percentage ]]</f>
        <v>195527.32133419483</v>
      </c>
      <c r="X126" s="61">
        <f>($C$9+$D$9+$E$9+$F$9+$G$9+$H$9+$I$9+$J$9+$K$9)*Table53[[#This Row],[Locality''s Allocation Percentage ]]</f>
        <v>210106.7424538621</v>
      </c>
      <c r="Y126" s="61">
        <f>($C$10+$D$10+$E$10+$F$10+$G$10+$H$10+$I$10+$J$10+$K$10)*Table53[[#This Row],[Locality''s Allocation Percentage ]]</f>
        <v>223293.33556842574</v>
      </c>
      <c r="Z126" s="61">
        <f>($C$11+$D$11+$E$11+$F$11+$G$11+$H$11+$I$11+$J$11+$K$11)*Table53[[#This Row],[Locality''s Allocation Percentage ]]</f>
        <v>170118.82388478817</v>
      </c>
      <c r="AA126" s="61">
        <f>($C$12+$D$12+$E$12+$F$12+$G$12+$H$12+$I$12+$J$12+$K$12)*Table53[[#This Row],[Locality''s Allocation Percentage ]]</f>
        <v>238422.77089650417</v>
      </c>
      <c r="AB126" s="61">
        <f>($C$13+$D$13+$E$13+$F$13+$G$13+$H$13+$I$13+$J$13+$K$13)*Table53[[#This Row],[Locality''s Allocation Percentage ]]</f>
        <v>239507.57912675472</v>
      </c>
      <c r="AC126" s="61">
        <f>($C$14+$D$14+$E$14+$F$14+$G$14+$H$14+$I$14+$J$14+$K$14)*Table53[[#This Row],[Locality''s Allocation Percentage ]]</f>
        <v>224249.25068346225</v>
      </c>
      <c r="AD126" s="61">
        <f>($C$15+$D$15+$E$15+$F$15+$G$15+$H$15+$I$15+$J$15+$K$15)*Table53[[#This Row],[Locality''s Allocation Percentage ]]</f>
        <v>208104.67768653017</v>
      </c>
      <c r="AE126" s="61">
        <f>($C$16+$D$16+$E$16+$F$16+$G$16+$H$16+$I$16+$J$16+$K$16)*Table53[[#This Row],[Locality''s Allocation Percentage ]]</f>
        <v>191315.83818804641</v>
      </c>
      <c r="AF126" s="61">
        <f>($C$17+$D$17+$E$17+$F$17+$G$17+$H$17+$I$17+$J$17+$K$17)*Table53[[#This Row],[Locality''s Allocation Percentage ]]</f>
        <v>146001.94579624251</v>
      </c>
      <c r="AG126" s="61">
        <f>($C$18+$D$18+$E$18+$F$18+$G$18+$H$18+$I$18+$J$18+$K$18)*Table53[[#This Row],[Locality''s Allocation Percentage ]]</f>
        <v>146001.94579624251</v>
      </c>
      <c r="AH126" s="61">
        <f>($C$19+$D$19+$E$19+$F$19+$G$19+$H$19+$I$19+$J$19+$K$19)*Table53[[#This Row],[Locality''s Allocation Percentage ]]</f>
        <v>146001.94579624251</v>
      </c>
      <c r="AI126" s="61">
        <f>($C$20+$D$20+$E$20+$F$20+$G$20+$H$20+$I$20+$J$20+$K$20)*Table53[[#This Row],[Locality''s Allocation Percentage ]]</f>
        <v>121306.42968518143</v>
      </c>
      <c r="AJ126" s="61">
        <f>($C$21+$D$21+$E$21+$F$21+$G$21+$H$21+$I$21+$J$21+$K$21)*Table53[[#This Row],[Locality''s Allocation Percentage ]]</f>
        <v>121306.42968518143</v>
      </c>
      <c r="AK126" s="61">
        <f>($C$22+$D$22+$E$22+$F$22+$G$22+$H$22+$I$22+$J$22+$K$22)*Table53[[#This Row],[Locality''s Allocation Percentage ]]</f>
        <v>84928.711602000636</v>
      </c>
      <c r="AL126" s="61"/>
      <c r="AM126" s="61"/>
      <c r="AN126" s="61">
        <f>$L$6*Table53[[#This Row],[Locality''s Allocation Percentage ]]</f>
        <v>149597.02360806087</v>
      </c>
      <c r="AO126" s="61">
        <f>$L$7*Table53[[#This Row],[Locality''s Allocation Percentage ]]</f>
        <v>173166.2510184116</v>
      </c>
      <c r="AP126" s="61">
        <f>$L$8*Table53[[#This Row],[Locality''s Allocation Percentage ]]</f>
        <v>67433.394132855217</v>
      </c>
      <c r="AQ126" s="61">
        <f>$L$9*Table53[[#This Row],[Locality''s Allocation Percentage ]]</f>
        <v>73985.077853730312</v>
      </c>
      <c r="AR126" s="61">
        <f>$L$10*Table53[[#This Row],[Locality''s Allocation Percentage ]]</f>
        <v>78820.161995736984</v>
      </c>
      <c r="AS126" s="61">
        <f>$L$11*Table53[[#This Row],[Locality''s Allocation Percentage ]]</f>
        <v>59322.841045069865</v>
      </c>
      <c r="AT126" s="61">
        <f>$L$12*Table53[[#This Row],[Locality''s Allocation Percentage ]]</f>
        <v>84367.621616032411</v>
      </c>
      <c r="AU126" s="61">
        <f>$L$13*Table53[[#This Row],[Locality''s Allocation Percentage ]]</f>
        <v>84873.98001575275</v>
      </c>
      <c r="AV126" s="61">
        <f>$L$14*Table53[[#This Row],[Locality''s Allocation Percentage ]]</f>
        <v>78934.435200044987</v>
      </c>
      <c r="AW126" s="61">
        <f>$L$15*Table53[[#This Row],[Locality''s Allocation Percentage ]]</f>
        <v>73016.481895305827</v>
      </c>
      <c r="AX126" s="61">
        <f>$L$16*Table53[[#This Row],[Locality''s Allocation Percentage ]]</f>
        <v>66860.574079195125</v>
      </c>
      <c r="AY126" s="61">
        <f>$L$17*Table53[[#This Row],[Locality''s Allocation Percentage ]]</f>
        <v>52200.197128905631</v>
      </c>
      <c r="AZ126" s="61">
        <f>$L$18*Table53[[#This Row],[Locality''s Allocation Percentage ]]</f>
        <v>52200.197128905631</v>
      </c>
      <c r="BA126" s="61">
        <f>$L$19*Table53[[#This Row],[Locality''s Allocation Percentage ]]</f>
        <v>52200.197128905631</v>
      </c>
      <c r="BB126" s="61">
        <f>$L$20*Table53[[#This Row],[Locality''s Allocation Percentage ]]</f>
        <v>43145.174554849902</v>
      </c>
      <c r="BC126" s="61">
        <f>$L$21*Table53[[#This Row],[Locality''s Allocation Percentage ]]</f>
        <v>43145.174554849902</v>
      </c>
      <c r="BD126" s="61">
        <f>$L$22*Table53[[#This Row],[Locality''s Allocation Percentage ]]</f>
        <v>31140.527587400233</v>
      </c>
      <c r="BE126" s="61"/>
      <c r="BF126" s="61">
        <f t="shared" si="70"/>
        <v>0</v>
      </c>
      <c r="BG126" s="61">
        <f t="shared" si="70"/>
        <v>37399.255902015218</v>
      </c>
      <c r="BH126" s="61">
        <f t="shared" si="75"/>
        <v>43291.562754602899</v>
      </c>
      <c r="BI126" s="61">
        <f t="shared" si="76"/>
        <v>16858.348533213804</v>
      </c>
      <c r="BJ126" s="61">
        <f t="shared" si="77"/>
        <v>18496.269463432578</v>
      </c>
      <c r="BK126" s="61">
        <f t="shared" si="78"/>
        <v>19705.040498934246</v>
      </c>
      <c r="BL126" s="61">
        <f t="shared" si="79"/>
        <v>14830.710261267466</v>
      </c>
      <c r="BM126" s="61">
        <f t="shared" si="80"/>
        <v>21091.905404008103</v>
      </c>
      <c r="BN126" s="61">
        <f t="shared" si="81"/>
        <v>21218.495003938187</v>
      </c>
      <c r="BO126" s="61">
        <f t="shared" si="82"/>
        <v>19733.608800011247</v>
      </c>
      <c r="BP126" s="61">
        <f t="shared" si="83"/>
        <v>18254.120473826457</v>
      </c>
      <c r="BQ126" s="61">
        <f t="shared" si="84"/>
        <v>16715.143519798781</v>
      </c>
      <c r="BR126" s="61">
        <f t="shared" si="85"/>
        <v>13050.049282226408</v>
      </c>
      <c r="BS126" s="61">
        <f t="shared" si="86"/>
        <v>13050.049282226408</v>
      </c>
      <c r="BT126" s="61">
        <f t="shared" si="87"/>
        <v>13050.049282226408</v>
      </c>
      <c r="BU126" s="61">
        <f t="shared" si="88"/>
        <v>10786.293638712476</v>
      </c>
      <c r="BV126" s="61">
        <f t="shared" si="89"/>
        <v>10786.293638712476</v>
      </c>
      <c r="BW126" s="61">
        <f t="shared" si="74"/>
        <v>7785.1318968500582</v>
      </c>
      <c r="BX126" s="61"/>
      <c r="BY126" s="61">
        <f>($C$6+$D$6+$E$6)*Table53[[#This Row],[Locality''s Allocation Percentage ]]</f>
        <v>413419.91619968542</v>
      </c>
      <c r="BZ126" s="61">
        <f>$L$6*Table53[[#This Row],[Locality''s Allocation Percentage ]]</f>
        <v>149597.02360806087</v>
      </c>
      <c r="CA126" s="61">
        <f t="shared" si="71"/>
        <v>37399.255902015218</v>
      </c>
      <c r="CB126" s="76">
        <f>($C$7+$D$7+$E$7)*Table53[[#This Row],[Locality''s Allocation Percentage ]]</f>
        <v>149095.29825815311</v>
      </c>
      <c r="CC126" s="76">
        <f>$L$7*Table53[[#This Row],[Locality''s Allocation Percentage ]]</f>
        <v>173166.2510184116</v>
      </c>
      <c r="CD126" s="76">
        <f t="shared" si="72"/>
        <v>43291.562754602899</v>
      </c>
    </row>
    <row r="127" spans="16:82" s="19" customFormat="1" ht="18" customHeight="1" x14ac:dyDescent="0.25">
      <c r="P127" s="36" t="s">
        <v>191</v>
      </c>
      <c r="Q127" s="37">
        <v>4.8590485904859003E-2</v>
      </c>
      <c r="S127" s="22" t="s">
        <v>191</v>
      </c>
      <c r="T127" s="61">
        <f>($C$5+$D$5+$E$5+$F$5+$G$5+$H$5+$I$5+$J$5+$K$5)*Table53[[#This Row],[Locality''s Allocation Percentage ]]</f>
        <v>197583.9391168924</v>
      </c>
      <c r="U127" s="61">
        <f>($C$6+$D$6+$E$6+$F$6+$G$6+$H$6+$I$6+$J$6+$K$6)*Table53[[#This Row],[Locality''s Allocation Percentage ]]</f>
        <v>1250814.0553015389</v>
      </c>
      <c r="V127" s="61">
        <f>($C$7+$D$7+$E$7+$F$7+$G$7+$H$7+$I$7+$J$7+$K$7)*Table53[[#This Row],[Locality''s Allocation Percentage ]]</f>
        <v>1542573.7882793711</v>
      </c>
      <c r="W127" s="61">
        <f>($C$8+$D$8+$E$8+$F$8+$G$8+$H$8+$I$8+$J$8+$K$8)*Table53[[#This Row],[Locality''s Allocation Percentage ]]</f>
        <v>591573.63285358192</v>
      </c>
      <c r="X127" s="61">
        <f>($C$9+$D$9+$E$9+$F$9+$G$9+$H$9+$I$9+$J$9+$K$9)*Table53[[#This Row],[Locality''s Allocation Percentage ]]</f>
        <v>635684.09812161641</v>
      </c>
      <c r="Y127" s="61">
        <f>($C$10+$D$10+$E$10+$F$10+$G$10+$H$10+$I$10+$J$10+$K$10)*Table53[[#This Row],[Locality''s Allocation Percentage ]]</f>
        <v>675580.52149874263</v>
      </c>
      <c r="Z127" s="61">
        <f>($C$11+$D$11+$E$11+$F$11+$G$11+$H$11+$I$11+$J$11+$K$11)*Table53[[#This Row],[Locality''s Allocation Percentage ]]</f>
        <v>514699.48023423768</v>
      </c>
      <c r="AA127" s="61">
        <f>($C$12+$D$12+$E$12+$F$12+$G$12+$H$12+$I$12+$J$12+$K$12)*Table53[[#This Row],[Locality''s Allocation Percentage ]]</f>
        <v>721355.07085063122</v>
      </c>
      <c r="AB127" s="61">
        <f>($C$13+$D$13+$E$13+$F$13+$G$13+$H$13+$I$13+$J$13+$K$13)*Table53[[#This Row],[Locality''s Allocation Percentage ]]</f>
        <v>724637.18989844399</v>
      </c>
      <c r="AC127" s="61">
        <f>($C$14+$D$14+$E$14+$F$14+$G$14+$H$14+$I$14+$J$14+$K$14)*Table53[[#This Row],[Locality''s Allocation Percentage ]]</f>
        <v>678472.67065438547</v>
      </c>
      <c r="AD127" s="61">
        <f>($C$15+$D$15+$E$15+$F$15+$G$15+$H$15+$I$15+$J$15+$K$15)*Table53[[#This Row],[Locality''s Allocation Percentage ]]</f>
        <v>629626.7925771171</v>
      </c>
      <c r="AE127" s="61">
        <f>($C$16+$D$16+$E$16+$F$16+$G$16+$H$16+$I$16+$J$16+$K$16)*Table53[[#This Row],[Locality''s Allocation Percentage ]]</f>
        <v>578831.66734478052</v>
      </c>
      <c r="AF127" s="61">
        <f>($C$17+$D$17+$E$17+$F$17+$G$17+$H$17+$I$17+$J$17+$K$17)*Table53[[#This Row],[Locality''s Allocation Percentage ]]</f>
        <v>441733.15979074867</v>
      </c>
      <c r="AG127" s="61">
        <f>($C$18+$D$18+$E$18+$F$18+$G$18+$H$18+$I$18+$J$18+$K$18)*Table53[[#This Row],[Locality''s Allocation Percentage ]]</f>
        <v>441733.15979074867</v>
      </c>
      <c r="AH127" s="61">
        <f>($C$19+$D$19+$E$19+$F$19+$G$19+$H$19+$I$19+$J$19+$K$19)*Table53[[#This Row],[Locality''s Allocation Percentage ]]</f>
        <v>441733.15979074867</v>
      </c>
      <c r="AI127" s="61">
        <f>($C$20+$D$20+$E$20+$F$20+$G$20+$H$20+$I$20+$J$20+$K$20)*Table53[[#This Row],[Locality''s Allocation Percentage ]]</f>
        <v>367016.15307614976</v>
      </c>
      <c r="AJ127" s="61">
        <f>($C$21+$D$21+$E$21+$F$21+$G$21+$H$21+$I$21+$J$21+$K$21)*Table53[[#This Row],[Locality''s Allocation Percentage ]]</f>
        <v>367016.15307614976</v>
      </c>
      <c r="AK127" s="61">
        <f>($C$22+$D$22+$E$22+$F$22+$G$22+$H$22+$I$22+$J$22+$K$22)*Table53[[#This Row],[Locality''s Allocation Percentage ]]</f>
        <v>256954.30241227965</v>
      </c>
      <c r="AL127" s="61"/>
      <c r="AM127" s="61"/>
      <c r="AN127" s="61">
        <f>$L$6*Table53[[#This Row],[Locality''s Allocation Percentage ]]</f>
        <v>452610.17292127508</v>
      </c>
      <c r="AO127" s="61">
        <f>$L$7*Table53[[#This Row],[Locality''s Allocation Percentage ]]</f>
        <v>523919.5602107484</v>
      </c>
      <c r="AP127" s="61">
        <f>$L$8*Table53[[#This Row],[Locality''s Allocation Percentage ]]</f>
        <v>204021.70740444801</v>
      </c>
      <c r="AQ127" s="61">
        <f>$L$9*Table53[[#This Row],[Locality''s Allocation Percentage ]]</f>
        <v>223844.01823865229</v>
      </c>
      <c r="AR127" s="61">
        <f>$L$10*Table53[[#This Row],[Locality''s Allocation Percentage ]]</f>
        <v>238472.70681026526</v>
      </c>
      <c r="AS127" s="61">
        <f>$L$11*Table53[[#This Row],[Locality''s Allocation Percentage ]]</f>
        <v>179482.99167994675</v>
      </c>
      <c r="AT127" s="61">
        <f>$L$12*Table53[[#This Row],[Locality''s Allocation Percentage ]]</f>
        <v>255256.70823929107</v>
      </c>
      <c r="AU127" s="61">
        <f>$L$13*Table53[[#This Row],[Locality''s Allocation Percentage ]]</f>
        <v>256788.71039635281</v>
      </c>
      <c r="AV127" s="61">
        <f>$L$14*Table53[[#This Row],[Locality''s Allocation Percentage ]]</f>
        <v>238818.44373413362</v>
      </c>
      <c r="AW127" s="61">
        <f>$L$15*Table53[[#This Row],[Locality''s Allocation Percentage ]]</f>
        <v>220913.50282023102</v>
      </c>
      <c r="AX127" s="61">
        <f>$L$16*Table53[[#This Row],[Locality''s Allocation Percentage ]]</f>
        <v>202288.62356837426</v>
      </c>
      <c r="AY127" s="61">
        <f>$L$17*Table53[[#This Row],[Locality''s Allocation Percentage ]]</f>
        <v>157933.22406559926</v>
      </c>
      <c r="AZ127" s="61">
        <f>$L$18*Table53[[#This Row],[Locality''s Allocation Percentage ]]</f>
        <v>157933.22406559926</v>
      </c>
      <c r="BA127" s="61">
        <f>$L$19*Table53[[#This Row],[Locality''s Allocation Percentage ]]</f>
        <v>157933.22406559926</v>
      </c>
      <c r="BB127" s="61">
        <f>$L$20*Table53[[#This Row],[Locality''s Allocation Percentage ]]</f>
        <v>130536.98827024637</v>
      </c>
      <c r="BC127" s="61">
        <f>$L$21*Table53[[#This Row],[Locality''s Allocation Percentage ]]</f>
        <v>130536.98827024637</v>
      </c>
      <c r="BD127" s="61">
        <f>$L$22*Table53[[#This Row],[Locality''s Allocation Percentage ]]</f>
        <v>94216.57755116919</v>
      </c>
      <c r="BE127" s="61"/>
      <c r="BF127" s="61">
        <f t="shared" si="70"/>
        <v>0</v>
      </c>
      <c r="BG127" s="61">
        <f t="shared" si="70"/>
        <v>113152.54323031877</v>
      </c>
      <c r="BH127" s="61">
        <f t="shared" si="75"/>
        <v>130979.8900526871</v>
      </c>
      <c r="BI127" s="61">
        <f t="shared" si="76"/>
        <v>51005.426851112003</v>
      </c>
      <c r="BJ127" s="61">
        <f t="shared" si="77"/>
        <v>55961.004559663073</v>
      </c>
      <c r="BK127" s="61">
        <f t="shared" si="78"/>
        <v>59618.176702566314</v>
      </c>
      <c r="BL127" s="61">
        <f t="shared" si="79"/>
        <v>44870.747919986687</v>
      </c>
      <c r="BM127" s="61">
        <f t="shared" si="80"/>
        <v>63814.177059822767</v>
      </c>
      <c r="BN127" s="61">
        <f t="shared" si="81"/>
        <v>64197.177599088202</v>
      </c>
      <c r="BO127" s="61">
        <f t="shared" si="82"/>
        <v>59704.610933533404</v>
      </c>
      <c r="BP127" s="61">
        <f t="shared" si="83"/>
        <v>55228.375705057755</v>
      </c>
      <c r="BQ127" s="61">
        <f t="shared" si="84"/>
        <v>50572.155892093564</v>
      </c>
      <c r="BR127" s="61">
        <f t="shared" si="85"/>
        <v>39483.306016399816</v>
      </c>
      <c r="BS127" s="61">
        <f t="shared" si="86"/>
        <v>39483.306016399816</v>
      </c>
      <c r="BT127" s="61">
        <f t="shared" si="87"/>
        <v>39483.306016399816</v>
      </c>
      <c r="BU127" s="61">
        <f t="shared" si="88"/>
        <v>32634.247067561591</v>
      </c>
      <c r="BV127" s="61">
        <f t="shared" si="89"/>
        <v>32634.247067561591</v>
      </c>
      <c r="BW127" s="61">
        <f t="shared" si="74"/>
        <v>23554.144387792297</v>
      </c>
      <c r="BX127" s="61"/>
      <c r="BY127" s="61">
        <f>($C$6+$D$6+$E$6)*Table53[[#This Row],[Locality''s Allocation Percentage ]]</f>
        <v>1250814.0553015389</v>
      </c>
      <c r="BZ127" s="61">
        <f>$L$6*Table53[[#This Row],[Locality''s Allocation Percentage ]]</f>
        <v>452610.17292127508</v>
      </c>
      <c r="CA127" s="61">
        <f t="shared" si="71"/>
        <v>113152.54323031877</v>
      </c>
      <c r="CB127" s="76">
        <f>($C$7+$D$7+$E$7)*Table53[[#This Row],[Locality''s Allocation Percentage ]]</f>
        <v>451092.1881920087</v>
      </c>
      <c r="CC127" s="76">
        <f>$L$7*Table53[[#This Row],[Locality''s Allocation Percentage ]]</f>
        <v>523919.5602107484</v>
      </c>
      <c r="CD127" s="76">
        <f t="shared" si="72"/>
        <v>130979.8900526871</v>
      </c>
    </row>
    <row r="128" spans="16:82" s="19" customFormat="1" ht="18" customHeight="1" x14ac:dyDescent="0.25">
      <c r="P128" s="36" t="s">
        <v>311</v>
      </c>
      <c r="Q128" s="37">
        <v>7.6600766007660099E-3</v>
      </c>
      <c r="S128" s="22" t="s">
        <v>192</v>
      </c>
      <c r="T128" s="61">
        <f>($C$5+$D$5+$E$5+$F$5+$G$5+$H$5+$I$5+$J$5+$K$5)*Table53[[#This Row],[Locality''s Allocation Percentage ]]</f>
        <v>31148.239836085566</v>
      </c>
      <c r="U128" s="61">
        <f>($C$6+$D$6+$E$6+$F$6+$G$6+$H$6+$I$6+$J$6+$K$6)*Table53[[#This Row],[Locality''s Allocation Percentage ]]</f>
        <v>197185.33985613912</v>
      </c>
      <c r="V128" s="61">
        <f>($C$7+$D$7+$E$7+$F$7+$G$7+$H$7+$I$7+$J$7+$K$7)*Table53[[#This Row],[Locality''s Allocation Percentage ]]</f>
        <v>243179.97979460788</v>
      </c>
      <c r="W128" s="61">
        <f>($C$8+$D$8+$E$8+$F$8+$G$8+$H$8+$I$8+$J$8+$K$8)*Table53[[#This Row],[Locality''s Allocation Percentage ]]</f>
        <v>93258.98389912417</v>
      </c>
      <c r="X128" s="61">
        <f>($C$9+$D$9+$E$9+$F$9+$G$9+$H$9+$I$9+$J$9+$K$9)*Table53[[#This Row],[Locality''s Allocation Percentage ]]</f>
        <v>100212.80493129425</v>
      </c>
      <c r="Y128" s="61">
        <f>($C$10+$D$10+$E$10+$F$10+$G$10+$H$10+$I$10+$J$10+$K$10)*Table53[[#This Row],[Locality''s Allocation Percentage ]]</f>
        <v>106502.30077547592</v>
      </c>
      <c r="Z128" s="61">
        <f>($C$11+$D$11+$E$11+$F$11+$G$11+$H$11+$I$11+$J$11+$K$11)*Table53[[#This Row],[Locality''s Allocation Percentage ]]</f>
        <v>81140.111516654972</v>
      </c>
      <c r="AA128" s="61">
        <f>($C$12+$D$12+$E$12+$F$12+$G$12+$H$12+$I$12+$J$12+$K$12)*Table53[[#This Row],[Locality''s Allocation Percentage ]]</f>
        <v>113718.45735163288</v>
      </c>
      <c r="AB128" s="61">
        <f>($C$13+$D$13+$E$13+$F$13+$G$13+$H$13+$I$13+$J$13+$K$13)*Table53[[#This Row],[Locality''s Allocation Percentage ]]</f>
        <v>114235.86899819074</v>
      </c>
      <c r="AC128" s="61">
        <f>($C$14+$D$14+$E$14+$F$14+$G$14+$H$14+$I$14+$J$14+$K$14)*Table53[[#This Row],[Locality''s Allocation Percentage ]]</f>
        <v>106958.23538202509</v>
      </c>
      <c r="AD128" s="61">
        <f>($C$15+$D$15+$E$15+$F$15+$G$15+$H$15+$I$15+$J$15+$K$15)*Table53[[#This Row],[Locality''s Allocation Percentage ]]</f>
        <v>99257.897327448503</v>
      </c>
      <c r="AE128" s="61">
        <f>($C$16+$D$16+$E$16+$F$16+$G$16+$H$16+$I$16+$J$16+$K$16)*Table53[[#This Row],[Locality''s Allocation Percentage ]]</f>
        <v>91250.269023688496</v>
      </c>
      <c r="AF128" s="61">
        <f>($C$17+$D$17+$E$17+$F$17+$G$17+$H$17+$I$17+$J$17+$K$17)*Table53[[#This Row],[Locality''s Allocation Percentage ]]</f>
        <v>69637.291706053482</v>
      </c>
      <c r="AG128" s="61">
        <f>($C$18+$D$18+$E$18+$F$18+$G$18+$H$18+$I$18+$J$18+$K$18)*Table53[[#This Row],[Locality''s Allocation Percentage ]]</f>
        <v>69637.291706053482</v>
      </c>
      <c r="AH128" s="61">
        <f>($C$19+$D$19+$E$19+$F$19+$G$19+$H$19+$I$19+$J$19+$K$19)*Table53[[#This Row],[Locality''s Allocation Percentage ]]</f>
        <v>69637.291706053482</v>
      </c>
      <c r="AI128" s="61">
        <f>($C$20+$D$20+$E$20+$F$20+$G$20+$H$20+$I$20+$J$20+$K$20)*Table53[[#This Row],[Locality''s Allocation Percentage ]]</f>
        <v>57858.483897166305</v>
      </c>
      <c r="AJ128" s="61">
        <f>($C$21+$D$21+$E$21+$F$21+$G$21+$H$21+$I$21+$J$21+$K$21)*Table53[[#This Row],[Locality''s Allocation Percentage ]]</f>
        <v>57858.483897166305</v>
      </c>
      <c r="AK128" s="61">
        <f>($C$22+$D$22+$E$22+$F$22+$G$22+$H$22+$I$22+$J$22+$K$22)*Table53[[#This Row],[Locality''s Allocation Percentage ]]</f>
        <v>40507.716741676566</v>
      </c>
      <c r="AL128" s="61"/>
      <c r="AM128" s="61"/>
      <c r="AN128" s="61">
        <f>$L$6*Table53[[#This Row],[Locality''s Allocation Percentage ]]</f>
        <v>71352.005033483671</v>
      </c>
      <c r="AO128" s="61">
        <f>$L$7*Table53[[#This Row],[Locality''s Allocation Percentage ]]</f>
        <v>82593.616612766782</v>
      </c>
      <c r="AP128" s="61">
        <f>$L$8*Table53[[#This Row],[Locality''s Allocation Percentage ]]</f>
        <v>32163.125719655767</v>
      </c>
      <c r="AQ128" s="61">
        <f>$L$9*Table53[[#This Row],[Locality''s Allocation Percentage ]]</f>
        <v>35288.025925253729</v>
      </c>
      <c r="AR128" s="61">
        <f>$L$10*Table53[[#This Row],[Locality''s Allocation Percentage ]]</f>
        <v>37594.174401453674</v>
      </c>
      <c r="AS128" s="61">
        <f>$L$11*Table53[[#This Row],[Locality''s Allocation Percentage ]]</f>
        <v>28294.70500655266</v>
      </c>
      <c r="AT128" s="61">
        <f>$L$12*Table53[[#This Row],[Locality''s Allocation Percentage ]]</f>
        <v>40240.098479377899</v>
      </c>
      <c r="AU128" s="61">
        <f>$L$13*Table53[[#This Row],[Locality''s Allocation Percentage ]]</f>
        <v>40481.611887961823</v>
      </c>
      <c r="AV128" s="61">
        <f>$L$14*Table53[[#This Row],[Locality''s Allocation Percentage ]]</f>
        <v>37648.678308365212</v>
      </c>
      <c r="AW128" s="61">
        <f>$L$15*Table53[[#This Row],[Locality''s Allocation Percentage ]]</f>
        <v>34826.043045955375</v>
      </c>
      <c r="AX128" s="61">
        <f>$L$16*Table53[[#This Row],[Locality''s Allocation Percentage ]]</f>
        <v>31889.912667910037</v>
      </c>
      <c r="AY128" s="61">
        <f>$L$17*Table53[[#This Row],[Locality''s Allocation Percentage ]]</f>
        <v>24897.478829851654</v>
      </c>
      <c r="AZ128" s="61">
        <f>$L$18*Table53[[#This Row],[Locality''s Allocation Percentage ]]</f>
        <v>24897.478829851654</v>
      </c>
      <c r="BA128" s="61">
        <f>$L$19*Table53[[#This Row],[Locality''s Allocation Percentage ]]</f>
        <v>24897.478829851654</v>
      </c>
      <c r="BB128" s="61">
        <f>$L$20*Table53[[#This Row],[Locality''s Allocation Percentage ]]</f>
        <v>20578.582633259692</v>
      </c>
      <c r="BC128" s="61">
        <f>$L$21*Table53[[#This Row],[Locality''s Allocation Percentage ]]</f>
        <v>20578.582633259692</v>
      </c>
      <c r="BD128" s="61">
        <f>$L$22*Table53[[#This Row],[Locality''s Allocation Percentage ]]</f>
        <v>14852.829471948075</v>
      </c>
      <c r="BE128" s="61"/>
      <c r="BF128" s="61">
        <f t="shared" si="70"/>
        <v>0</v>
      </c>
      <c r="BG128" s="61">
        <f t="shared" si="70"/>
        <v>17838.001258370918</v>
      </c>
      <c r="BH128" s="61">
        <f t="shared" si="75"/>
        <v>20648.404153191696</v>
      </c>
      <c r="BI128" s="61">
        <f t="shared" si="76"/>
        <v>8040.7814299139418</v>
      </c>
      <c r="BJ128" s="61">
        <f t="shared" si="77"/>
        <v>8822.0064813134322</v>
      </c>
      <c r="BK128" s="61">
        <f t="shared" si="78"/>
        <v>9398.5436003634186</v>
      </c>
      <c r="BL128" s="61">
        <f t="shared" si="79"/>
        <v>7073.676251638165</v>
      </c>
      <c r="BM128" s="61">
        <f t="shared" si="80"/>
        <v>10060.024619844475</v>
      </c>
      <c r="BN128" s="61">
        <f t="shared" si="81"/>
        <v>10120.402971990456</v>
      </c>
      <c r="BO128" s="61">
        <f t="shared" si="82"/>
        <v>9412.1695770913029</v>
      </c>
      <c r="BP128" s="61">
        <f t="shared" si="83"/>
        <v>8706.5107614888439</v>
      </c>
      <c r="BQ128" s="61">
        <f t="shared" si="84"/>
        <v>7972.4781669775093</v>
      </c>
      <c r="BR128" s="61">
        <f t="shared" si="85"/>
        <v>6224.3697074629135</v>
      </c>
      <c r="BS128" s="61">
        <f t="shared" si="86"/>
        <v>6224.3697074629135</v>
      </c>
      <c r="BT128" s="61">
        <f t="shared" si="87"/>
        <v>6224.3697074629135</v>
      </c>
      <c r="BU128" s="61">
        <f t="shared" si="88"/>
        <v>5144.6456583149229</v>
      </c>
      <c r="BV128" s="61">
        <f t="shared" si="89"/>
        <v>5144.6456583149229</v>
      </c>
      <c r="BW128" s="61">
        <f t="shared" si="74"/>
        <v>3713.2073679870186</v>
      </c>
      <c r="BX128" s="61"/>
      <c r="BY128" s="61">
        <f>($C$6+$D$6+$E$6)*Table53[[#This Row],[Locality''s Allocation Percentage ]]</f>
        <v>197185.33985613912</v>
      </c>
      <c r="BZ128" s="61">
        <f>$L$6*Table53[[#This Row],[Locality''s Allocation Percentage ]]</f>
        <v>71352.005033483671</v>
      </c>
      <c r="CA128" s="61">
        <f t="shared" si="71"/>
        <v>17838.001258370918</v>
      </c>
      <c r="CB128" s="76">
        <f>($C$7+$D$7+$E$7)*Table53[[#This Row],[Locality''s Allocation Percentage ]]</f>
        <v>71112.701410800393</v>
      </c>
      <c r="CC128" s="76">
        <f>$L$7*Table53[[#This Row],[Locality''s Allocation Percentage ]]</f>
        <v>82593.616612766782</v>
      </c>
      <c r="CD128" s="76">
        <f t="shared" si="72"/>
        <v>20648.404153191696</v>
      </c>
    </row>
    <row r="129" spans="2:82" s="19" customFormat="1" ht="18" customHeight="1" x14ac:dyDescent="0.25">
      <c r="P129" s="36" t="s">
        <v>312</v>
      </c>
      <c r="Q129" s="37">
        <v>9.9600996009960099E-3</v>
      </c>
      <c r="S129" s="22" t="s">
        <v>193</v>
      </c>
      <c r="T129" s="61">
        <f>($C$5+$D$5+$E$5+$F$5+$G$5+$H$5+$I$5+$J$5+$K$5)*Table53[[#This Row],[Locality''s Allocation Percentage ]]</f>
        <v>40500.844486607326</v>
      </c>
      <c r="U129" s="61">
        <f>($C$6+$D$6+$E$6+$F$6+$G$6+$H$6+$I$6+$J$6+$K$6)*Table53[[#This Row],[Locality''s Allocation Percentage ]]</f>
        <v>256392.4262359197</v>
      </c>
      <c r="V129" s="61">
        <f>($C$7+$D$7+$E$7+$F$7+$G$7+$H$7+$I$7+$J$7+$K$7)*Table53[[#This Row],[Locality''s Allocation Percentage ]]</f>
        <v>316197.46720029943</v>
      </c>
      <c r="W129" s="61">
        <f>($C$8+$D$8+$E$8+$F$8+$G$8+$H$8+$I$8+$J$8+$K$8)*Table53[[#This Row],[Locality''s Allocation Percentage ]]</f>
        <v>121261.0286730126</v>
      </c>
      <c r="X129" s="61">
        <f>($C$9+$D$9+$E$9+$F$9+$G$9+$H$9+$I$9+$J$9+$K$9)*Table53[[#This Row],[Locality''s Allocation Percentage ]]</f>
        <v>130302.81163390214</v>
      </c>
      <c r="Y129" s="61">
        <f>($C$10+$D$10+$E$10+$F$10+$G$10+$H$10+$I$10+$J$10+$K$10)*Table53[[#This Row],[Locality''s Allocation Percentage ]]</f>
        <v>138480.79839735507</v>
      </c>
      <c r="Z129" s="61">
        <f>($C$11+$D$11+$E$11+$F$11+$G$11+$H$11+$I$11+$J$11+$K$11)*Table53[[#This Row],[Locality''s Allocation Percentage ]]</f>
        <v>105503.33037935814</v>
      </c>
      <c r="AA129" s="61">
        <f>($C$12+$D$12+$E$12+$F$12+$G$12+$H$12+$I$12+$J$12+$K$12)*Table53[[#This Row],[Locality''s Allocation Percentage ]]</f>
        <v>147863.68606034768</v>
      </c>
      <c r="AB129" s="61">
        <f>($C$13+$D$13+$E$13+$F$13+$G$13+$H$13+$I$13+$J$13+$K$13)*Table53[[#This Row],[Locality''s Allocation Percentage ]]</f>
        <v>148536.45629529757</v>
      </c>
      <c r="AC129" s="61">
        <f>($C$14+$D$14+$E$14+$F$14+$G$14+$H$14+$I$14+$J$14+$K$14)*Table53[[#This Row],[Locality''s Allocation Percentage ]]</f>
        <v>139073.6324288472</v>
      </c>
      <c r="AD129" s="61">
        <f>($C$15+$D$15+$E$15+$F$15+$G$15+$H$15+$I$15+$J$15+$K$15)*Table53[[#This Row],[Locality''s Allocation Percentage ]]</f>
        <v>129061.18242576851</v>
      </c>
      <c r="AE129" s="61">
        <f>($C$16+$D$16+$E$16+$F$16+$G$16+$H$16+$I$16+$J$16+$K$16)*Table53[[#This Row],[Locality''s Allocation Percentage ]]</f>
        <v>118649.17486631034</v>
      </c>
      <c r="AF129" s="61">
        <f>($C$17+$D$17+$E$17+$F$17+$G$17+$H$17+$I$17+$J$17+$K$17)*Table53[[#This Row],[Locality''s Allocation Percentage ]]</f>
        <v>90546.661278367174</v>
      </c>
      <c r="AG129" s="61">
        <f>($C$18+$D$18+$E$18+$F$18+$G$18+$H$18+$I$18+$J$18+$K$18)*Table53[[#This Row],[Locality''s Allocation Percentage ]]</f>
        <v>90546.661278367174</v>
      </c>
      <c r="AH129" s="61">
        <f>($C$19+$D$19+$E$19+$F$19+$G$19+$H$19+$I$19+$J$19+$K$19)*Table53[[#This Row],[Locality''s Allocation Percentage ]]</f>
        <v>90546.661278367174</v>
      </c>
      <c r="AI129" s="61">
        <f>($C$20+$D$20+$E$20+$F$20+$G$20+$H$20+$I$20+$J$20+$K$20)*Table53[[#This Row],[Locality''s Allocation Percentage ]]</f>
        <v>75231.135720075225</v>
      </c>
      <c r="AJ129" s="61">
        <f>($C$21+$D$21+$E$21+$F$21+$G$21+$H$21+$I$21+$J$21+$K$21)*Table53[[#This Row],[Locality''s Allocation Percentage ]]</f>
        <v>75231.135720075225</v>
      </c>
      <c r="AK129" s="61">
        <f>($C$22+$D$22+$E$22+$F$22+$G$22+$H$22+$I$22+$J$22+$K$22)*Table53[[#This Row],[Locality''s Allocation Percentage ]]</f>
        <v>52670.608191527223</v>
      </c>
      <c r="AL129" s="61"/>
      <c r="AM129" s="61"/>
      <c r="AN129" s="61">
        <f>$L$6*Table53[[#This Row],[Locality''s Allocation Percentage ]]</f>
        <v>92776.236309856016</v>
      </c>
      <c r="AO129" s="61">
        <f>$L$7*Table53[[#This Row],[Locality''s Allocation Percentage ]]</f>
        <v>107393.26650955051</v>
      </c>
      <c r="AP129" s="61">
        <f>$L$8*Table53[[#This Row],[Locality''s Allocation Percentage ]]</f>
        <v>41820.461118508007</v>
      </c>
      <c r="AQ129" s="61">
        <f>$L$9*Table53[[#This Row],[Locality''s Allocation Percentage ]]</f>
        <v>45883.647286622327</v>
      </c>
      <c r="AR129" s="61">
        <f>$L$10*Table53[[#This Row],[Locality''s Allocation Percentage ]]</f>
        <v>48882.242433221734</v>
      </c>
      <c r="AS129" s="61">
        <f>$L$11*Table53[[#This Row],[Locality''s Allocation Percentage ]]</f>
        <v>36790.504159956188</v>
      </c>
      <c r="AT129" s="61">
        <f>$L$12*Table53[[#This Row],[Locality''s Allocation Percentage ]]</f>
        <v>52322.634576319026</v>
      </c>
      <c r="AU129" s="61">
        <f>$L$13*Table53[[#This Row],[Locality''s Allocation Percentage ]]</f>
        <v>52636.665065809349</v>
      </c>
      <c r="AV129" s="61">
        <f>$L$14*Table53[[#This Row],[Locality''s Allocation Percentage ]]</f>
        <v>48953.11174299183</v>
      </c>
      <c r="AW129" s="61">
        <f>$L$15*Table53[[#This Row],[Locality''s Allocation Percentage ]]</f>
        <v>45282.948921372772</v>
      </c>
      <c r="AX129" s="61">
        <f>$L$16*Table53[[#This Row],[Locality''s Allocation Percentage ]]</f>
        <v>41465.212816238105</v>
      </c>
      <c r="AY129" s="61">
        <f>$L$17*Table53[[#This Row],[Locality''s Allocation Percentage ]]</f>
        <v>32373.223126021203</v>
      </c>
      <c r="AZ129" s="61">
        <f>$L$18*Table53[[#This Row],[Locality''s Allocation Percentage ]]</f>
        <v>32373.223126021203</v>
      </c>
      <c r="BA129" s="61">
        <f>$L$19*Table53[[#This Row],[Locality''s Allocation Percentage ]]</f>
        <v>32373.223126021203</v>
      </c>
      <c r="BB129" s="61">
        <f>$L$20*Table53[[#This Row],[Locality''s Allocation Percentage ]]</f>
        <v>26757.530421314157</v>
      </c>
      <c r="BC129" s="61">
        <f>$L$21*Table53[[#This Row],[Locality''s Allocation Percentage ]]</f>
        <v>26757.530421314157</v>
      </c>
      <c r="BD129" s="61">
        <f>$L$22*Table53[[#This Row],[Locality''s Allocation Percentage ]]</f>
        <v>19312.556336893314</v>
      </c>
      <c r="BE129" s="61"/>
      <c r="BF129" s="61">
        <f t="shared" si="70"/>
        <v>0</v>
      </c>
      <c r="BG129" s="61">
        <f t="shared" si="70"/>
        <v>23194.059077464004</v>
      </c>
      <c r="BH129" s="61">
        <f t="shared" si="75"/>
        <v>26848.316627387627</v>
      </c>
      <c r="BI129" s="61">
        <f t="shared" si="76"/>
        <v>10455.115279627002</v>
      </c>
      <c r="BJ129" s="61">
        <f t="shared" si="77"/>
        <v>11470.911821655582</v>
      </c>
      <c r="BK129" s="61">
        <f t="shared" si="78"/>
        <v>12220.560608305434</v>
      </c>
      <c r="BL129" s="61">
        <f t="shared" si="79"/>
        <v>9197.6260399890471</v>
      </c>
      <c r="BM129" s="61">
        <f t="shared" si="80"/>
        <v>13080.658644079756</v>
      </c>
      <c r="BN129" s="61">
        <f t="shared" si="81"/>
        <v>13159.166266452337</v>
      </c>
      <c r="BO129" s="61">
        <f t="shared" si="82"/>
        <v>12238.277935747958</v>
      </c>
      <c r="BP129" s="61">
        <f t="shared" si="83"/>
        <v>11320.737230343193</v>
      </c>
      <c r="BQ129" s="61">
        <f t="shared" si="84"/>
        <v>10366.303204059526</v>
      </c>
      <c r="BR129" s="61">
        <f t="shared" si="85"/>
        <v>8093.3057815053007</v>
      </c>
      <c r="BS129" s="61">
        <f t="shared" si="86"/>
        <v>8093.3057815053007</v>
      </c>
      <c r="BT129" s="61">
        <f t="shared" si="87"/>
        <v>8093.3057815053007</v>
      </c>
      <c r="BU129" s="61">
        <f t="shared" si="88"/>
        <v>6689.3826053285393</v>
      </c>
      <c r="BV129" s="61">
        <f t="shared" si="89"/>
        <v>6689.3826053285393</v>
      </c>
      <c r="BW129" s="61">
        <f t="shared" si="74"/>
        <v>4828.1390842233286</v>
      </c>
      <c r="BX129" s="61"/>
      <c r="BY129" s="61">
        <f>($C$6+$D$6+$E$6)*Table53[[#This Row],[Locality''s Allocation Percentage ]]</f>
        <v>256392.4262359197</v>
      </c>
      <c r="BZ129" s="61">
        <f>$L$6*Table53[[#This Row],[Locality''s Allocation Percentage ]]</f>
        <v>92776.236309856016</v>
      </c>
      <c r="CA129" s="61">
        <f t="shared" si="71"/>
        <v>23194.059077464004</v>
      </c>
      <c r="CB129" s="76">
        <f>($C$7+$D$7+$E$7)*Table53[[#This Row],[Locality''s Allocation Percentage ]]</f>
        <v>92465.079119004135</v>
      </c>
      <c r="CC129" s="76">
        <f>$L$7*Table53[[#This Row],[Locality''s Allocation Percentage ]]</f>
        <v>107393.26650955051</v>
      </c>
      <c r="CD129" s="76">
        <f t="shared" si="72"/>
        <v>26848.316627387627</v>
      </c>
    </row>
    <row r="130" spans="2:82" s="19" customFormat="1" ht="18" customHeight="1" x14ac:dyDescent="0.25">
      <c r="P130" s="36" t="s">
        <v>194</v>
      </c>
      <c r="Q130" s="37">
        <v>3.6300363003630002E-3</v>
      </c>
      <c r="S130" s="22" t="s">
        <v>194</v>
      </c>
      <c r="T130" s="61">
        <f>($C$5+$D$5+$E$5+$F$5+$G$5+$H$5+$I$5+$J$5+$K$5)*Table53[[#This Row],[Locality''s Allocation Percentage ]]</f>
        <v>14760.849948432175</v>
      </c>
      <c r="U130" s="61">
        <f>($C$6+$D$6+$E$6+$F$6+$G$6+$H$6+$I$6+$J$6+$K$6)*Table53[[#This Row],[Locality''s Allocation Percentage ]]</f>
        <v>93444.227634175477</v>
      </c>
      <c r="V130" s="61">
        <f>($C$7+$D$7+$E$7+$F$7+$G$7+$H$7+$I$7+$J$7+$K$7)*Table53[[#This Row],[Locality''s Allocation Percentage ]]</f>
        <v>115240.64316637408</v>
      </c>
      <c r="W130" s="61">
        <f>($C$8+$D$8+$E$8+$F$8+$G$8+$H$8+$I$8+$J$8+$K$8)*Table53[[#This Row],[Locality''s Allocation Percentage ]]</f>
        <v>44194.531534441296</v>
      </c>
      <c r="X130" s="61">
        <f>($C$9+$D$9+$E$9+$F$9+$G$9+$H$9+$I$9+$J$9+$K$9)*Table53[[#This Row],[Locality''s Allocation Percentage ]]</f>
        <v>47489.880143681155</v>
      </c>
      <c r="Y130" s="61">
        <f>($C$10+$D$10+$E$10+$F$10+$G$10+$H$10+$I$10+$J$10+$K$10)*Table53[[#This Row],[Locality''s Allocation Percentage ]]</f>
        <v>50470.411464096229</v>
      </c>
      <c r="Z130" s="61">
        <f>($C$11+$D$11+$E$11+$F$11+$G$11+$H$11+$I$11+$J$11+$K$11)*Table53[[#This Row],[Locality''s Allocation Percentage ]]</f>
        <v>38451.514987657596</v>
      </c>
      <c r="AA130" s="61">
        <f>($C$12+$D$12+$E$12+$F$12+$G$12+$H$12+$I$12+$J$12+$K$12)*Table53[[#This Row],[Locality''s Allocation Percentage ]]</f>
        <v>53890.078353319434</v>
      </c>
      <c r="AB130" s="61">
        <f>($C$13+$D$13+$E$13+$F$13+$G$13+$H$13+$I$13+$J$13+$K$13)*Table53[[#This Row],[Locality''s Allocation Percentage ]]</f>
        <v>54135.274734129489</v>
      </c>
      <c r="AC130" s="61">
        <f>($C$14+$D$14+$E$14+$F$14+$G$14+$H$14+$I$14+$J$14+$K$14)*Table53[[#This Row],[Locality''s Allocation Percentage ]]</f>
        <v>50686.474469549685</v>
      </c>
      <c r="AD130" s="61">
        <f>($C$15+$D$15+$E$15+$F$15+$G$15+$H$15+$I$15+$J$15+$K$15)*Table53[[#This Row],[Locality''s Allocation Percentage ]]</f>
        <v>47037.358655174619</v>
      </c>
      <c r="AE130" s="61">
        <f>($C$16+$D$16+$E$16+$F$16+$G$16+$H$16+$I$16+$J$16+$K$16)*Table53[[#This Row],[Locality''s Allocation Percentage ]]</f>
        <v>43242.620960311855</v>
      </c>
      <c r="AF130" s="61">
        <f>($C$17+$D$17+$E$17+$F$17+$G$17+$H$17+$I$17+$J$17+$K$17)*Table53[[#This Row],[Locality''s Allocation Percentage ]]</f>
        <v>33000.439803260291</v>
      </c>
      <c r="AG130" s="61">
        <f>($C$18+$D$18+$E$18+$F$18+$G$18+$H$18+$I$18+$J$18+$K$18)*Table53[[#This Row],[Locality''s Allocation Percentage ]]</f>
        <v>33000.439803260291</v>
      </c>
      <c r="AH130" s="61">
        <f>($C$19+$D$19+$E$19+$F$19+$G$19+$H$19+$I$19+$J$19+$K$19)*Table53[[#This Row],[Locality''s Allocation Percentage ]]</f>
        <v>33000.439803260291</v>
      </c>
      <c r="AI130" s="61">
        <f>($C$20+$D$20+$E$20+$F$20+$G$20+$H$20+$I$20+$J$20+$K$20)*Table53[[#This Row],[Locality''s Allocation Percentage ]]</f>
        <v>27418.576572677994</v>
      </c>
      <c r="AJ130" s="61">
        <f>($C$21+$D$21+$E$21+$F$21+$G$21+$H$21+$I$21+$J$21+$K$21)*Table53[[#This Row],[Locality''s Allocation Percentage ]]</f>
        <v>27418.576572677994</v>
      </c>
      <c r="AK130" s="61">
        <f>($C$22+$D$22+$E$22+$F$22+$G$22+$H$22+$I$22+$J$22+$K$22)*Table53[[#This Row],[Locality''s Allocation Percentage ]]</f>
        <v>19196.215636068639</v>
      </c>
      <c r="AL130" s="61"/>
      <c r="AM130" s="61"/>
      <c r="AN130" s="61">
        <f>$L$6*Table53[[#This Row],[Locality''s Allocation Percentage ]]</f>
        <v>33813.025884013761</v>
      </c>
      <c r="AO130" s="61">
        <f>$L$7*Table53[[#This Row],[Locality''s Allocation Percentage ]]</f>
        <v>39140.31701101084</v>
      </c>
      <c r="AP130" s="61">
        <f>$L$8*Table53[[#This Row],[Locality''s Allocation Percentage ]]</f>
        <v>15241.794564275495</v>
      </c>
      <c r="AQ130" s="61">
        <f>$L$9*Table53[[#This Row],[Locality''s Allocation Percentage ]]</f>
        <v>16722.6545833774</v>
      </c>
      <c r="AR130" s="61">
        <f>$L$10*Table53[[#This Row],[Locality''s Allocation Percentage ]]</f>
        <v>17815.516067529592</v>
      </c>
      <c r="AS130" s="61">
        <f>$L$11*Table53[[#This Row],[Locality''s Allocation Percentage ]]</f>
        <v>13408.587359502093</v>
      </c>
      <c r="AT130" s="61">
        <f>$L$12*Table53[[#This Row],[Locality''s Allocation Percentage ]]</f>
        <v>19069.393926911434</v>
      </c>
      <c r="AU130" s="61">
        <f>$L$13*Table53[[#This Row],[Locality''s Allocation Percentage ]]</f>
        <v>19183.8447980811</v>
      </c>
      <c r="AV130" s="61">
        <f>$L$14*Table53[[#This Row],[Locality''s Allocation Percentage ]]</f>
        <v>17841.34494247592</v>
      </c>
      <c r="AW130" s="61">
        <f>$L$15*Table53[[#This Row],[Locality''s Allocation Percentage ]]</f>
        <v>16503.725359897893</v>
      </c>
      <c r="AX130" s="61">
        <f>$L$16*Table53[[#This Row],[Locality''s Allocation Percentage ]]</f>
        <v>15112.321538448212</v>
      </c>
      <c r="AY130" s="61">
        <f>$L$17*Table53[[#This Row],[Locality''s Allocation Percentage ]]</f>
        <v>11798.674693519764</v>
      </c>
      <c r="AZ130" s="61">
        <f>$L$18*Table53[[#This Row],[Locality''s Allocation Percentage ]]</f>
        <v>11798.674693519764</v>
      </c>
      <c r="BA130" s="61">
        <f>$L$19*Table53[[#This Row],[Locality''s Allocation Percentage ]]</f>
        <v>11798.674693519764</v>
      </c>
      <c r="BB130" s="61">
        <f>$L$20*Table53[[#This Row],[Locality''s Allocation Percentage ]]</f>
        <v>9751.991508972922</v>
      </c>
      <c r="BC130" s="61">
        <f>$L$21*Table53[[#This Row],[Locality''s Allocation Percentage ]]</f>
        <v>9751.991508972922</v>
      </c>
      <c r="BD130" s="61">
        <f>$L$22*Table53[[#This Row],[Locality''s Allocation Percentage ]]</f>
        <v>7038.6123998918329</v>
      </c>
      <c r="BE130" s="61"/>
      <c r="BF130" s="61">
        <f t="shared" si="70"/>
        <v>0</v>
      </c>
      <c r="BG130" s="61">
        <f t="shared" si="70"/>
        <v>8453.2564710034403</v>
      </c>
      <c r="BH130" s="61">
        <f t="shared" si="75"/>
        <v>9785.0792527527101</v>
      </c>
      <c r="BI130" s="61">
        <f t="shared" si="76"/>
        <v>3810.4486410688737</v>
      </c>
      <c r="BJ130" s="61">
        <f t="shared" si="77"/>
        <v>4180.66364584435</v>
      </c>
      <c r="BK130" s="61">
        <f t="shared" si="78"/>
        <v>4453.879016882398</v>
      </c>
      <c r="BL130" s="61">
        <f t="shared" si="79"/>
        <v>3352.1468398755233</v>
      </c>
      <c r="BM130" s="61">
        <f t="shared" si="80"/>
        <v>4767.3484817278586</v>
      </c>
      <c r="BN130" s="61">
        <f t="shared" si="81"/>
        <v>4795.9611995202749</v>
      </c>
      <c r="BO130" s="61">
        <f t="shared" si="82"/>
        <v>4460.33623561898</v>
      </c>
      <c r="BP130" s="61">
        <f t="shared" si="83"/>
        <v>4125.9313399744733</v>
      </c>
      <c r="BQ130" s="61">
        <f t="shared" si="84"/>
        <v>3778.080384612053</v>
      </c>
      <c r="BR130" s="61">
        <f t="shared" si="85"/>
        <v>2949.6686733799411</v>
      </c>
      <c r="BS130" s="61">
        <f t="shared" si="86"/>
        <v>2949.6686733799411</v>
      </c>
      <c r="BT130" s="61">
        <f t="shared" si="87"/>
        <v>2949.6686733799411</v>
      </c>
      <c r="BU130" s="61">
        <f t="shared" si="88"/>
        <v>2437.9978772432305</v>
      </c>
      <c r="BV130" s="61">
        <f t="shared" si="89"/>
        <v>2437.9978772432305</v>
      </c>
      <c r="BW130" s="61">
        <f t="shared" si="74"/>
        <v>1759.6530999729582</v>
      </c>
      <c r="BX130" s="61"/>
      <c r="BY130" s="61">
        <f>($C$6+$D$6+$E$6)*Table53[[#This Row],[Locality''s Allocation Percentage ]]</f>
        <v>93444.227634175477</v>
      </c>
      <c r="BZ130" s="61">
        <f>$L$6*Table53[[#This Row],[Locality''s Allocation Percentage ]]</f>
        <v>33813.025884013761</v>
      </c>
      <c r="CA130" s="61">
        <f t="shared" si="71"/>
        <v>8453.2564710034403</v>
      </c>
      <c r="CB130" s="76">
        <f>($C$7+$D$7+$E$7)*Table53[[#This Row],[Locality''s Allocation Percentage ]]</f>
        <v>33699.622209034605</v>
      </c>
      <c r="CC130" s="76">
        <f>$L$7*Table53[[#This Row],[Locality''s Allocation Percentage ]]</f>
        <v>39140.31701101084</v>
      </c>
      <c r="CD130" s="76">
        <f t="shared" si="72"/>
        <v>9785.0792527527101</v>
      </c>
    </row>
    <row r="131" spans="2:82" s="19" customFormat="1" ht="18" customHeight="1" x14ac:dyDescent="0.25">
      <c r="P131" s="36" t="s">
        <v>313</v>
      </c>
      <c r="Q131" s="37">
        <v>2.230022300223E-3</v>
      </c>
      <c r="S131" s="22" t="s">
        <v>195</v>
      </c>
      <c r="T131" s="61">
        <f>($C$5+$D$5+$E$5+$F$5+$G$5+$H$5+$I$5+$J$5+$K$5)*Table53[[#This Row],[Locality''s Allocation Percentage ]]</f>
        <v>9067.9601611580583</v>
      </c>
      <c r="U131" s="61">
        <f>($C$6+$D$6+$E$6+$F$6+$G$6+$H$6+$I$6+$J$6+$K$6)*Table53[[#This Row],[Locality''s Allocation Percentage ]]</f>
        <v>57405.131576917709</v>
      </c>
      <c r="V131" s="61">
        <f>($C$7+$D$7+$E$7+$F$7+$G$7+$H$7+$I$7+$J$7+$K$7)*Table53[[#This Row],[Locality''s Allocation Percentage ]]</f>
        <v>70795.216049866169</v>
      </c>
      <c r="W131" s="61">
        <f>($C$8+$D$8+$E$8+$F$8+$G$8+$H$8+$I$8+$J$8+$K$8)*Table53[[#This Row],[Locality''s Allocation Percentage ]]</f>
        <v>27149.808628596165</v>
      </c>
      <c r="X131" s="61">
        <f>($C$9+$D$9+$E$9+$F$9+$G$9+$H$9+$I$9+$J$9+$K$9)*Table53[[#This Row],[Locality''s Allocation Percentage ]]</f>
        <v>29174.223889919827</v>
      </c>
      <c r="Y131" s="61">
        <f>($C$10+$D$10+$E$10+$F$10+$G$10+$H$10+$I$10+$J$10+$K$10)*Table53[[#This Row],[Locality''s Allocation Percentage ]]</f>
        <v>31005.238998604567</v>
      </c>
      <c r="Z131" s="61">
        <f>($C$11+$D$11+$E$11+$F$11+$G$11+$H$11+$I$11+$J$11+$K$11)*Table53[[#This Row],[Locality''s Allocation Percentage ]]</f>
        <v>23621.729592968717</v>
      </c>
      <c r="AA131" s="61">
        <f>($C$12+$D$12+$E$12+$F$12+$G$12+$H$12+$I$12+$J$12+$K$12)*Table53[[#This Row],[Locality''s Allocation Percentage ]]</f>
        <v>33106.026095840862</v>
      </c>
      <c r="AB131" s="61">
        <f>($C$13+$D$13+$E$13+$F$13+$G$13+$H$13+$I$13+$J$13+$K$13)*Table53[[#This Row],[Locality''s Allocation Percentage ]]</f>
        <v>33256.656379368804</v>
      </c>
      <c r="AC131" s="61">
        <f>($C$14+$D$14+$E$14+$F$14+$G$14+$H$14+$I$14+$J$14+$K$14)*Table53[[#This Row],[Locality''s Allocation Percentage ]]</f>
        <v>31137.971919310134</v>
      </c>
      <c r="AD131" s="61">
        <f>($C$15+$D$15+$E$15+$F$15+$G$15+$H$15+$I$15+$J$15+$K$15)*Table53[[#This Row],[Locality''s Allocation Percentage ]]</f>
        <v>28896.228595327659</v>
      </c>
      <c r="AE131" s="61">
        <f>($C$16+$D$16+$E$16+$F$16+$G$16+$H$16+$I$16+$J$16+$K$16)*Table53[[#This Row],[Locality''s Allocation Percentage ]]</f>
        <v>26565.026099585521</v>
      </c>
      <c r="AF131" s="61">
        <f>($C$17+$D$17+$E$17+$F$17+$G$17+$H$17+$I$17+$J$17+$K$17)*Table53[[#This Row],[Locality''s Allocation Percentage ]]</f>
        <v>20272.997454895441</v>
      </c>
      <c r="AG131" s="61">
        <f>($C$18+$D$18+$E$18+$F$18+$G$18+$H$18+$I$18+$J$18+$K$18)*Table53[[#This Row],[Locality''s Allocation Percentage ]]</f>
        <v>20272.997454895441</v>
      </c>
      <c r="AH131" s="61">
        <f>($C$19+$D$19+$E$19+$F$19+$G$19+$H$19+$I$19+$J$19+$K$19)*Table53[[#This Row],[Locality''s Allocation Percentage ]]</f>
        <v>20272.997454895441</v>
      </c>
      <c r="AI131" s="61">
        <f>($C$20+$D$20+$E$20+$F$20+$G$20+$H$20+$I$20+$J$20+$K$20)*Table53[[#This Row],[Locality''s Allocation Percentage ]]</f>
        <v>16843.918941342126</v>
      </c>
      <c r="AJ131" s="61">
        <f>($C$21+$D$21+$E$21+$F$21+$G$21+$H$21+$I$21+$J$21+$K$21)*Table53[[#This Row],[Locality''s Allocation Percentage ]]</f>
        <v>16843.918941342126</v>
      </c>
      <c r="AK131" s="61">
        <f>($C$22+$D$22+$E$22+$F$22+$G$22+$H$22+$I$22+$J$22+$K$22)*Table53[[#This Row],[Locality''s Allocation Percentage ]]</f>
        <v>11792.716492681284</v>
      </c>
      <c r="AL131" s="61"/>
      <c r="AM131" s="61"/>
      <c r="AN131" s="61">
        <f>$L$6*Table53[[#This Row],[Locality''s Allocation Percentage ]]</f>
        <v>20772.189454917541</v>
      </c>
      <c r="AO131" s="61">
        <f>$L$7*Table53[[#This Row],[Locality''s Allocation Percentage ]]</f>
        <v>24044.877943403353</v>
      </c>
      <c r="AP131" s="61">
        <f>$L$8*Table53[[#This Row],[Locality''s Allocation Percentage ]]</f>
        <v>9363.4164954089119</v>
      </c>
      <c r="AQ131" s="61">
        <f>$L$9*Table53[[#This Row],[Locality''s Allocation Percentage ]]</f>
        <v>10273.145928631295</v>
      </c>
      <c r="AR131" s="61">
        <f>$L$10*Table53[[#This Row],[Locality''s Allocation Percentage ]]</f>
        <v>10944.518135149032</v>
      </c>
      <c r="AS131" s="61">
        <f>$L$11*Table53[[#This Row],[Locality''s Allocation Percentage ]]</f>
        <v>8237.2313530825522</v>
      </c>
      <c r="AT131" s="61">
        <f>$L$12*Table53[[#This Row],[Locality''s Allocation Percentage ]]</f>
        <v>11714.806737469007</v>
      </c>
      <c r="AU131" s="61">
        <f>$L$13*Table53[[#This Row],[Locality''s Allocation Percentage ]]</f>
        <v>11785.116776782605</v>
      </c>
      <c r="AV131" s="61">
        <f>$L$14*Table53[[#This Row],[Locality''s Allocation Percentage ]]</f>
        <v>10960.385460529285</v>
      </c>
      <c r="AW131" s="61">
        <f>$L$15*Table53[[#This Row],[Locality''s Allocation Percentage ]]</f>
        <v>10138.652218339477</v>
      </c>
      <c r="AX131" s="61">
        <f>$L$16*Table53[[#This Row],[Locality''s Allocation Percentage ]]</f>
        <v>9283.8779699006918</v>
      </c>
      <c r="AY131" s="61">
        <f>$L$17*Table53[[#This Row],[Locality''s Allocation Percentage ]]</f>
        <v>7248.2216436774306</v>
      </c>
      <c r="AZ131" s="61">
        <f>$L$18*Table53[[#This Row],[Locality''s Allocation Percentage ]]</f>
        <v>7248.2216436774306</v>
      </c>
      <c r="BA131" s="61">
        <f>$L$19*Table53[[#This Row],[Locality''s Allocation Percentage ]]</f>
        <v>7248.2216436774306</v>
      </c>
      <c r="BB131" s="61">
        <f>$L$20*Table53[[#This Row],[Locality''s Allocation Percentage ]]</f>
        <v>5990.89285537455</v>
      </c>
      <c r="BC131" s="61">
        <f>$L$21*Table53[[#This Row],[Locality''s Allocation Percentage ]]</f>
        <v>5990.89285537455</v>
      </c>
      <c r="BD131" s="61">
        <f>$L$22*Table53[[#This Row],[Locality''s Allocation Percentage ]]</f>
        <v>4323.9960473164701</v>
      </c>
      <c r="BE131" s="61"/>
      <c r="BF131" s="61">
        <f t="shared" si="70"/>
        <v>0</v>
      </c>
      <c r="BG131" s="61">
        <f t="shared" si="70"/>
        <v>5193.0473637293853</v>
      </c>
      <c r="BH131" s="61">
        <f t="shared" si="75"/>
        <v>6011.2194858508383</v>
      </c>
      <c r="BI131" s="61">
        <f t="shared" si="76"/>
        <v>2340.854123852228</v>
      </c>
      <c r="BJ131" s="61">
        <f t="shared" si="77"/>
        <v>2568.2864821578237</v>
      </c>
      <c r="BK131" s="61">
        <f t="shared" si="78"/>
        <v>2736.129533787258</v>
      </c>
      <c r="BL131" s="61">
        <f t="shared" si="79"/>
        <v>2059.3078382706381</v>
      </c>
      <c r="BM131" s="61">
        <f t="shared" si="80"/>
        <v>2928.7016843672518</v>
      </c>
      <c r="BN131" s="61">
        <f t="shared" si="81"/>
        <v>2946.2791941956511</v>
      </c>
      <c r="BO131" s="61">
        <f t="shared" si="82"/>
        <v>2740.0963651323214</v>
      </c>
      <c r="BP131" s="61">
        <f t="shared" si="83"/>
        <v>2534.6630545848693</v>
      </c>
      <c r="BQ131" s="61">
        <f t="shared" si="84"/>
        <v>2320.969492475173</v>
      </c>
      <c r="BR131" s="61">
        <f t="shared" si="85"/>
        <v>1812.0554109193577</v>
      </c>
      <c r="BS131" s="61">
        <f t="shared" si="86"/>
        <v>1812.0554109193577</v>
      </c>
      <c r="BT131" s="61">
        <f t="shared" si="87"/>
        <v>1812.0554109193577</v>
      </c>
      <c r="BU131" s="61">
        <f t="shared" si="88"/>
        <v>1497.7232138436375</v>
      </c>
      <c r="BV131" s="61">
        <f t="shared" si="89"/>
        <v>1497.7232138436375</v>
      </c>
      <c r="BW131" s="61">
        <f t="shared" si="74"/>
        <v>1080.9990118291175</v>
      </c>
      <c r="BX131" s="61"/>
      <c r="BY131" s="61">
        <f>($C$6+$D$6+$E$6)*Table53[[#This Row],[Locality''s Allocation Percentage ]]</f>
        <v>57405.131576917709</v>
      </c>
      <c r="BZ131" s="61">
        <f>$L$6*Table53[[#This Row],[Locality''s Allocation Percentage ]]</f>
        <v>20772.189454917541</v>
      </c>
      <c r="CA131" s="61">
        <f t="shared" si="71"/>
        <v>5193.0473637293853</v>
      </c>
      <c r="CB131" s="76">
        <f>($C$7+$D$7+$E$7)*Table53[[#This Row],[Locality''s Allocation Percentage ]]</f>
        <v>20702.522734475806</v>
      </c>
      <c r="CC131" s="76">
        <f>$L$7*Table53[[#This Row],[Locality''s Allocation Percentage ]]</f>
        <v>24044.877943403353</v>
      </c>
      <c r="CD131" s="76">
        <f t="shared" si="72"/>
        <v>6011.2194858508383</v>
      </c>
    </row>
    <row r="132" spans="2:82" s="19" customFormat="1" ht="18" customHeight="1" x14ac:dyDescent="0.25">
      <c r="P132" s="36" t="s">
        <v>196</v>
      </c>
      <c r="Q132" s="37">
        <v>8.6000860008599998E-4</v>
      </c>
      <c r="S132" s="22" t="s">
        <v>196</v>
      </c>
      <c r="T132" s="61">
        <f>($C$5+$D$5+$E$5+$F$5+$G$5+$H$5+$I$5+$J$5+$K$5)*Table53[[#This Row],[Locality''s Allocation Percentage ]]</f>
        <v>3497.060869325529</v>
      </c>
      <c r="U132" s="61">
        <f>($C$6+$D$6+$E$6+$F$6+$G$6+$H$6+$I$6+$J$6+$K$6)*Table53[[#This Row],[Locality''s Allocation Percentage ]]</f>
        <v>22138.301863744051</v>
      </c>
      <c r="V132" s="61">
        <f>($C$7+$D$7+$E$7+$F$7+$G$7+$H$7+$I$7+$J$7+$K$7)*Table53[[#This Row],[Locality''s Allocation Percentage ]]</f>
        <v>27302.190942997717</v>
      </c>
      <c r="W132" s="61">
        <f>($C$8+$D$8+$E$8+$F$8+$G$8+$H$8+$I$8+$J$8+$K$8)*Table53[[#This Row],[Locality''s Allocation Percentage ]]</f>
        <v>10470.329785019148</v>
      </c>
      <c r="X132" s="61">
        <f>($C$9+$D$9+$E$9+$F$9+$G$9+$H$9+$I$9+$J$9+$K$9)*Table53[[#This Row],[Locality''s Allocation Percentage ]]</f>
        <v>11251.045984453387</v>
      </c>
      <c r="Y132" s="61">
        <f>($C$10+$D$10+$E$10+$F$10+$G$10+$H$10+$I$10+$J$10+$K$10)*Table53[[#This Row],[Locality''s Allocation Percentage ]]</f>
        <v>11957.17737165916</v>
      </c>
      <c r="Z132" s="61">
        <f>($C$11+$D$11+$E$11+$F$11+$G$11+$H$11+$I$11+$J$11+$K$11)*Table53[[#This Row],[Locality''s Allocation Percentage ]]</f>
        <v>9109.7253138803117</v>
      </c>
      <c r="AA132" s="61">
        <f>($C$12+$D$12+$E$12+$F$12+$G$12+$H$12+$I$12+$J$12+$K$12)*Table53[[#This Row],[Locality''s Allocation Percentage ]]</f>
        <v>12767.346386736835</v>
      </c>
      <c r="AB132" s="61">
        <f>($C$13+$D$13+$E$13+$F$13+$G$13+$H$13+$I$13+$J$13+$K$13)*Table53[[#This Row],[Locality''s Allocation Percentage ]]</f>
        <v>12825.436989352991</v>
      </c>
      <c r="AC132" s="61">
        <f>($C$14+$D$14+$E$14+$F$14+$G$14+$H$14+$I$14+$J$14+$K$14)*Table53[[#This Row],[Locality''s Allocation Percentage ]]</f>
        <v>12008.365852290006</v>
      </c>
      <c r="AD132" s="61">
        <f>($C$15+$D$15+$E$15+$F$15+$G$15+$H$15+$I$15+$J$15+$K$15)*Table53[[#This Row],[Locality''s Allocation Percentage ]]</f>
        <v>11143.837036763132</v>
      </c>
      <c r="AE132" s="61">
        <f>($C$16+$D$16+$E$16+$F$16+$G$16+$H$16+$I$16+$J$16+$K$16)*Table53[[#This Row],[Locality''s Allocation Percentage ]]</f>
        <v>10244.808271589034</v>
      </c>
      <c r="AF132" s="61">
        <f>($C$17+$D$17+$E$17+$F$17+$G$17+$H$17+$I$17+$J$17+$K$17)*Table53[[#This Row],[Locality''s Allocation Percentage ]]</f>
        <v>7818.286013995551</v>
      </c>
      <c r="AG132" s="61">
        <f>($C$18+$D$18+$E$18+$F$18+$G$18+$H$18+$I$18+$J$18+$K$18)*Table53[[#This Row],[Locality''s Allocation Percentage ]]</f>
        <v>7818.286013995551</v>
      </c>
      <c r="AH132" s="61">
        <f>($C$19+$D$19+$E$19+$F$19+$G$19+$H$19+$I$19+$J$19+$K$19)*Table53[[#This Row],[Locality''s Allocation Percentage ]]</f>
        <v>7818.286013995551</v>
      </c>
      <c r="AI132" s="61">
        <f>($C$20+$D$20+$E$20+$F$20+$G$20+$H$20+$I$20+$J$20+$K$20)*Table53[[#This Row],[Locality''s Allocation Percentage ]]</f>
        <v>6495.8611163920314</v>
      </c>
      <c r="AJ132" s="61">
        <f>($C$21+$D$21+$E$21+$F$21+$G$21+$H$21+$I$21+$J$21+$K$21)*Table53[[#This Row],[Locality''s Allocation Percentage ]]</f>
        <v>6495.8611163920314</v>
      </c>
      <c r="AK132" s="61">
        <f>($C$22+$D$22+$E$22+$F$22+$G$22+$H$22+$I$22+$J$22+$K$22)*Table53[[#This Row],[Locality''s Allocation Percentage ]]</f>
        <v>4547.8637595093742</v>
      </c>
      <c r="AL132" s="61"/>
      <c r="AM132" s="61"/>
      <c r="AN132" s="61">
        <f>$L$6*Table53[[#This Row],[Locality''s Allocation Percentage ]]</f>
        <v>8010.7995207305321</v>
      </c>
      <c r="AO132" s="61">
        <f>$L$7*Table53[[#This Row],[Locality''s Allocation Percentage ]]</f>
        <v>9272.9125701017401</v>
      </c>
      <c r="AP132" s="61">
        <f>$L$8*Table53[[#This Row],[Locality''s Allocation Percentage ]]</f>
        <v>3611.0036708751859</v>
      </c>
      <c r="AQ132" s="61">
        <f>$L$9*Table53[[#This Row],[Locality''s Allocation Percentage ]]</f>
        <v>3961.8410307726067</v>
      </c>
      <c r="AR132" s="61">
        <f>$L$10*Table53[[#This Row],[Locality''s Allocation Percentage ]]</f>
        <v>4220.7558727480573</v>
      </c>
      <c r="AS132" s="61">
        <f>$L$11*Table53[[#This Row],[Locality''s Allocation Percentage ]]</f>
        <v>3176.6901182291458</v>
      </c>
      <c r="AT132" s="61">
        <f>$L$12*Table53[[#This Row],[Locality''s Allocation Percentage ]]</f>
        <v>4517.8178449432044</v>
      </c>
      <c r="AU132" s="61">
        <f>$L$13*Table53[[#This Row],[Locality''s Allocation Percentage ]]</f>
        <v>4544.9329273690764</v>
      </c>
      <c r="AV132" s="61">
        <f>$L$14*Table53[[#This Row],[Locality''s Allocation Percentage ]]</f>
        <v>4226.8751103386476</v>
      </c>
      <c r="AW132" s="61">
        <f>$L$15*Table53[[#This Row],[Locality''s Allocation Percentage ]]</f>
        <v>3909.9735012430269</v>
      </c>
      <c r="AX132" s="61">
        <f>$L$16*Table53[[#This Row],[Locality''s Allocation Percentage ]]</f>
        <v>3580.3296206791902</v>
      </c>
      <c r="AY132" s="61">
        <f>$L$17*Table53[[#This Row],[Locality''s Allocation Percentage ]]</f>
        <v>2795.2783020460047</v>
      </c>
      <c r="AZ132" s="61">
        <f>$L$18*Table53[[#This Row],[Locality''s Allocation Percentage ]]</f>
        <v>2795.2783020460047</v>
      </c>
      <c r="BA132" s="61">
        <f>$L$19*Table53[[#This Row],[Locality''s Allocation Percentage ]]</f>
        <v>2795.2783020460047</v>
      </c>
      <c r="BB132" s="61">
        <f>$L$20*Table53[[#This Row],[Locality''s Allocation Percentage ]]</f>
        <v>2310.3891729247143</v>
      </c>
      <c r="BC132" s="61">
        <f>$L$21*Table53[[#This Row],[Locality''s Allocation Percentage ]]</f>
        <v>2310.3891729247143</v>
      </c>
      <c r="BD132" s="61">
        <f>$L$22*Table53[[#This Row],[Locality''s Allocation Percentage ]]</f>
        <v>1667.5500451534369</v>
      </c>
      <c r="BE132" s="61"/>
      <c r="BF132" s="61">
        <f t="shared" si="70"/>
        <v>0</v>
      </c>
      <c r="BG132" s="61">
        <f t="shared" si="70"/>
        <v>2002.699880182633</v>
      </c>
      <c r="BH132" s="61">
        <f t="shared" si="75"/>
        <v>2318.228142525435</v>
      </c>
      <c r="BI132" s="61">
        <f t="shared" si="76"/>
        <v>902.75091771879647</v>
      </c>
      <c r="BJ132" s="61">
        <f t="shared" si="77"/>
        <v>990.46025769315168</v>
      </c>
      <c r="BK132" s="61">
        <f t="shared" si="78"/>
        <v>1055.1889681870143</v>
      </c>
      <c r="BL132" s="61">
        <f t="shared" si="79"/>
        <v>794.17252955728645</v>
      </c>
      <c r="BM132" s="61">
        <f t="shared" si="80"/>
        <v>1129.4544612358011</v>
      </c>
      <c r="BN132" s="61">
        <f t="shared" si="81"/>
        <v>1136.2332318422691</v>
      </c>
      <c r="BO132" s="61">
        <f t="shared" si="82"/>
        <v>1056.7187775846619</v>
      </c>
      <c r="BP132" s="61">
        <f t="shared" si="83"/>
        <v>977.49337531075673</v>
      </c>
      <c r="BQ132" s="61">
        <f t="shared" si="84"/>
        <v>895.08240516979754</v>
      </c>
      <c r="BR132" s="61">
        <f t="shared" si="85"/>
        <v>698.81957551150117</v>
      </c>
      <c r="BS132" s="61">
        <f t="shared" si="86"/>
        <v>698.81957551150117</v>
      </c>
      <c r="BT132" s="61">
        <f t="shared" si="87"/>
        <v>698.81957551150117</v>
      </c>
      <c r="BU132" s="61">
        <f t="shared" si="88"/>
        <v>577.59729323117858</v>
      </c>
      <c r="BV132" s="61">
        <f t="shared" si="89"/>
        <v>577.59729323117858</v>
      </c>
      <c r="BW132" s="61">
        <f t="shared" si="74"/>
        <v>416.88751128835924</v>
      </c>
      <c r="BX132" s="61"/>
      <c r="BY132" s="61">
        <f>($C$6+$D$6+$E$6)*Table53[[#This Row],[Locality''s Allocation Percentage ]]</f>
        <v>22138.301863744051</v>
      </c>
      <c r="BZ132" s="61">
        <f>$L$6*Table53[[#This Row],[Locality''s Allocation Percentage ]]</f>
        <v>8010.7995207305321</v>
      </c>
      <c r="CA132" s="61">
        <f t="shared" si="71"/>
        <v>2002.699880182633</v>
      </c>
      <c r="CB132" s="76">
        <f>($C$7+$D$7+$E$7)*Table53[[#This Row],[Locality''s Allocation Percentage ]]</f>
        <v>7983.9325343718356</v>
      </c>
      <c r="CC132" s="76">
        <f>$L$7*Table53[[#This Row],[Locality''s Allocation Percentage ]]</f>
        <v>9272.9125701017401</v>
      </c>
      <c r="CD132" s="76">
        <f t="shared" si="72"/>
        <v>2318.228142525435</v>
      </c>
    </row>
    <row r="133" spans="2:82" s="19" customFormat="1" ht="18" customHeight="1" x14ac:dyDescent="0.25">
      <c r="P133" s="36" t="s">
        <v>197</v>
      </c>
      <c r="Q133" s="37">
        <v>6.4900649006490096E-3</v>
      </c>
      <c r="S133" s="22" t="s">
        <v>197</v>
      </c>
      <c r="T133" s="61">
        <f>($C$5+$D$5+$E$5+$F$5+$G$5+$H$5+$I$5+$J$5+$K$5)*Table53[[#This Row],[Locality''s Allocation Percentage ]]</f>
        <v>26390.610513863623</v>
      </c>
      <c r="U133" s="61">
        <f>($C$6+$D$6+$E$6+$F$6+$G$6+$H$6+$I$6+$J$6+$K$6)*Table53[[#This Row],[Locality''s Allocation Percentage ]]</f>
        <v>167066.95243685943</v>
      </c>
      <c r="V133" s="61">
        <f>($C$7+$D$7+$E$7+$F$7+$G$7+$H$7+$I$7+$J$7+$K$7)*Table53[[#This Row],[Locality''s Allocation Percentage ]]</f>
        <v>206036.30141866911</v>
      </c>
      <c r="W133" s="61">
        <f>($C$8+$D$8+$E$8+$F$8+$G$8+$H$8+$I$8+$J$8+$K$8)*Table53[[#This Row],[Locality''s Allocation Percentage ]]</f>
        <v>79014.465470667885</v>
      </c>
      <c r="X133" s="61">
        <f>($C$9+$D$9+$E$9+$F$9+$G$9+$H$9+$I$9+$J$9+$K$9)*Table53[[#This Row],[Locality''s Allocation Percentage ]]</f>
        <v>84906.149347793704</v>
      </c>
      <c r="Y133" s="61">
        <f>($C$10+$D$10+$E$10+$F$10+$G$10+$H$10+$I$10+$J$10+$K$10)*Table53[[#This Row],[Locality''s Allocation Percentage ]]</f>
        <v>90234.978072172176</v>
      </c>
      <c r="Z133" s="61">
        <f>($C$11+$D$11+$E$11+$F$11+$G$11+$H$11+$I$11+$J$11+$K$11)*Table53[[#This Row],[Locality''s Allocation Percentage ]]</f>
        <v>68746.648008236414</v>
      </c>
      <c r="AA133" s="61">
        <f>($C$12+$D$12+$E$12+$F$12+$G$12+$H$12+$I$12+$J$12+$K$12)*Table53[[#This Row],[Locality''s Allocation Percentage ]]</f>
        <v>96348.927965025796</v>
      </c>
      <c r="AB133" s="61">
        <f>($C$13+$D$13+$E$13+$F$13+$G$13+$H$13+$I$13+$J$13+$K$13)*Table53[[#This Row],[Locality''s Allocation Percentage ]]</f>
        <v>96787.309373140743</v>
      </c>
      <c r="AC133" s="61">
        <f>($C$14+$D$14+$E$14+$F$14+$G$14+$H$14+$I$14+$J$14+$K$14)*Table53[[#This Row],[Locality''s Allocation Percentage ]]</f>
        <v>90621.272536467746</v>
      </c>
      <c r="AD133" s="61">
        <f>($C$15+$D$15+$E$15+$F$15+$G$15+$H$15+$I$15+$J$15+$K$15)*Table53[[#This Row],[Locality''s Allocation Percentage ]]</f>
        <v>84097.09577743354</v>
      </c>
      <c r="AE133" s="61">
        <f>($C$16+$D$16+$E$16+$F$16+$G$16+$H$16+$I$16+$J$16+$K$16)*Table53[[#This Row],[Locality''s Allocation Percentage ]]</f>
        <v>77312.564747224344</v>
      </c>
      <c r="AF133" s="61">
        <f>($C$17+$D$17+$E$17+$F$17+$G$17+$H$17+$I$17+$J$17+$K$17)*Table53[[#This Row],[Locality''s Allocation Percentage ]]</f>
        <v>59000.786314920006</v>
      </c>
      <c r="AG133" s="61">
        <f>($C$18+$D$18+$E$18+$F$18+$G$18+$H$18+$I$18+$J$18+$K$18)*Table53[[#This Row],[Locality''s Allocation Percentage ]]</f>
        <v>59000.786314920006</v>
      </c>
      <c r="AH133" s="61">
        <f>($C$19+$D$19+$E$19+$F$19+$G$19+$H$19+$I$19+$J$19+$K$19)*Table53[[#This Row],[Locality''s Allocation Percentage ]]</f>
        <v>59000.786314920006</v>
      </c>
      <c r="AI133" s="61">
        <f>($C$20+$D$20+$E$20+$F$20+$G$20+$H$20+$I$20+$J$20+$K$20)*Table53[[#This Row],[Locality''s Allocation Percentage ]]</f>
        <v>49021.091448121333</v>
      </c>
      <c r="AJ133" s="61">
        <f>($C$21+$D$21+$E$21+$F$21+$G$21+$H$21+$I$21+$J$21+$K$21)*Table53[[#This Row],[Locality''s Allocation Percentage ]]</f>
        <v>49021.091448121333</v>
      </c>
      <c r="AK133" s="61">
        <f>($C$22+$D$22+$E$22+$F$22+$G$22+$H$22+$I$22+$J$22+$K$22)*Table53[[#This Row],[Locality''s Allocation Percentage ]]</f>
        <v>34320.50674327428</v>
      </c>
      <c r="AL133" s="61"/>
      <c r="AM133" s="61"/>
      <c r="AN133" s="61">
        <f>$L$6*Table53[[#This Row],[Locality''s Allocation Percentage ]]</f>
        <v>60453.591732024688</v>
      </c>
      <c r="AO133" s="61">
        <f>$L$7*Table53[[#This Row],[Locality''s Allocation Percentage ]]</f>
        <v>69978.142534837665</v>
      </c>
      <c r="AP133" s="61">
        <f>$L$8*Table53[[#This Row],[Locality''s Allocation Percentage ]]</f>
        <v>27250.481190674407</v>
      </c>
      <c r="AQ133" s="61">
        <f>$L$9*Table53[[#This Row],[Locality''s Allocation Percentage ]]</f>
        <v>29898.079406644483</v>
      </c>
      <c r="AR133" s="61">
        <f>$L$10*Table53[[#This Row],[Locality''s Allocation Percentage ]]</f>
        <v>31851.983272249923</v>
      </c>
      <c r="AS133" s="61">
        <f>$L$11*Table53[[#This Row],[Locality''s Allocation Percentage ]]</f>
        <v>23972.928915473472</v>
      </c>
      <c r="AT133" s="61">
        <f>$L$12*Table53[[#This Row],[Locality''s Allocation Percentage ]]</f>
        <v>34093.764899629583</v>
      </c>
      <c r="AU133" s="61">
        <f>$L$13*Table53[[#This Row],[Locality''s Allocation Percentage ]]</f>
        <v>34298.389184448082</v>
      </c>
      <c r="AV133" s="61">
        <f>$L$14*Table53[[#This Row],[Locality''s Allocation Percentage ]]</f>
        <v>31898.162169881238</v>
      </c>
      <c r="AW133" s="61">
        <f>$L$15*Table53[[#This Row],[Locality''s Allocation Percentage ]]</f>
        <v>29506.660491938699</v>
      </c>
      <c r="AX133" s="61">
        <f>$L$16*Table53[[#This Row],[Locality''s Allocation Percentage ]]</f>
        <v>27018.999114195325</v>
      </c>
      <c r="AY133" s="61">
        <f>$L$17*Table53[[#This Row],[Locality''s Allocation Percentage ]]</f>
        <v>21094.600209626275</v>
      </c>
      <c r="AZ133" s="61">
        <f>$L$18*Table53[[#This Row],[Locality''s Allocation Percentage ]]</f>
        <v>21094.600209626275</v>
      </c>
      <c r="BA133" s="61">
        <f>$L$19*Table53[[#This Row],[Locality''s Allocation Percentage ]]</f>
        <v>21094.600209626275</v>
      </c>
      <c r="BB133" s="61">
        <f>$L$20*Table53[[#This Row],[Locality''s Allocation Percentage ]]</f>
        <v>17435.378758466763</v>
      </c>
      <c r="BC133" s="61">
        <f>$L$21*Table53[[#This Row],[Locality''s Allocation Percentage ]]</f>
        <v>17435.378758466763</v>
      </c>
      <c r="BD133" s="61">
        <f>$L$22*Table53[[#This Row],[Locality''s Allocation Percentage ]]</f>
        <v>12584.185805867235</v>
      </c>
      <c r="BE133" s="61"/>
      <c r="BF133" s="61">
        <f t="shared" ref="BF133:BG136" si="90">AM133*0.25</f>
        <v>0</v>
      </c>
      <c r="BG133" s="61">
        <f t="shared" si="90"/>
        <v>15113.397933006172</v>
      </c>
      <c r="BH133" s="61">
        <f t="shared" si="75"/>
        <v>17494.535633709416</v>
      </c>
      <c r="BI133" s="61">
        <f t="shared" si="76"/>
        <v>6812.6202976686018</v>
      </c>
      <c r="BJ133" s="61">
        <f t="shared" si="77"/>
        <v>7474.5198516611208</v>
      </c>
      <c r="BK133" s="61">
        <f t="shared" si="78"/>
        <v>7962.9958180624808</v>
      </c>
      <c r="BL133" s="61">
        <f t="shared" si="79"/>
        <v>5993.2322288683681</v>
      </c>
      <c r="BM133" s="61">
        <f t="shared" si="80"/>
        <v>8523.4412249073957</v>
      </c>
      <c r="BN133" s="61">
        <f t="shared" si="81"/>
        <v>8574.5972961120206</v>
      </c>
      <c r="BO133" s="61">
        <f t="shared" si="82"/>
        <v>7974.5405424703094</v>
      </c>
      <c r="BP133" s="61">
        <f t="shared" si="83"/>
        <v>7376.6651229846748</v>
      </c>
      <c r="BQ133" s="61">
        <f t="shared" si="84"/>
        <v>6754.7497785488313</v>
      </c>
      <c r="BR133" s="61">
        <f t="shared" si="85"/>
        <v>5273.6500524065686</v>
      </c>
      <c r="BS133" s="61">
        <f t="shared" si="86"/>
        <v>5273.6500524065686</v>
      </c>
      <c r="BT133" s="61">
        <f t="shared" si="87"/>
        <v>5273.6500524065686</v>
      </c>
      <c r="BU133" s="61">
        <f t="shared" si="88"/>
        <v>4358.8446896166906</v>
      </c>
      <c r="BV133" s="61">
        <f t="shared" si="89"/>
        <v>4358.8446896166906</v>
      </c>
      <c r="BW133" s="61">
        <f t="shared" si="74"/>
        <v>3146.0464514668088</v>
      </c>
      <c r="BX133" s="61"/>
      <c r="BY133" s="61">
        <f>($C$6+$D$6+$E$6)*Table53[[#This Row],[Locality''s Allocation Percentage ]]</f>
        <v>167066.95243685943</v>
      </c>
      <c r="BZ133" s="61">
        <f>$L$6*Table53[[#This Row],[Locality''s Allocation Percentage ]]</f>
        <v>60453.591732024688</v>
      </c>
      <c r="CA133" s="61">
        <f t="shared" ref="CA133:CA136" si="91">BZ133*0.25</f>
        <v>15113.397933006172</v>
      </c>
      <c r="CB133" s="76">
        <f>($C$7+$D$7+$E$7)*Table53[[#This Row],[Locality''s Allocation Percentage ]]</f>
        <v>60250.839707061961</v>
      </c>
      <c r="CC133" s="76">
        <f>$L$7*Table53[[#This Row],[Locality''s Allocation Percentage ]]</f>
        <v>69978.142534837665</v>
      </c>
      <c r="CD133" s="76">
        <f t="shared" ref="CD133:CD136" si="92">CC133*0.25</f>
        <v>17494.535633709416</v>
      </c>
    </row>
    <row r="134" spans="2:82" s="19" customFormat="1" ht="18" customHeight="1" x14ac:dyDescent="0.25">
      <c r="P134" s="36" t="s">
        <v>314</v>
      </c>
      <c r="Q134" s="37">
        <v>1.7560175601756E-2</v>
      </c>
      <c r="S134" s="22" t="s">
        <v>198</v>
      </c>
      <c r="T134" s="61">
        <f>($C$5+$D$5+$E$5+$F$5+$G$5+$H$5+$I$5+$J$5+$K$5)*Table53[[#This Row],[Locality''s Allocation Percentage ]]</f>
        <v>71405.103331809631</v>
      </c>
      <c r="U134" s="61">
        <f>($C$6+$D$6+$E$6+$F$6+$G$6+$H$6+$I$6+$J$6+$K$6)*Table53[[#This Row],[Locality''s Allocation Percentage ]]</f>
        <v>452033.23340389016</v>
      </c>
      <c r="V134" s="61">
        <f>($C$7+$D$7+$E$7+$F$7+$G$7+$H$7+$I$7+$J$7+$K$7)*Table53[[#This Row],[Locality''s Allocation Percentage ]]</f>
        <v>557472.64297562779</v>
      </c>
      <c r="W134" s="61">
        <f>($C$8+$D$8+$E$8+$F$8+$G$8+$H$8+$I$8+$J$8+$K$8)*Table53[[#This Row],[Locality''s Allocation Percentage ]]</f>
        <v>213789.5244476003</v>
      </c>
      <c r="X134" s="61">
        <f>($C$9+$D$9+$E$9+$F$9+$G$9+$H$9+$I$9+$J$9+$K$9)*Table53[[#This Row],[Locality''s Allocation Percentage ]]</f>
        <v>229730.65986860637</v>
      </c>
      <c r="Y134" s="61">
        <f>($C$10+$D$10+$E$10+$F$10+$G$10+$H$10+$I$10+$J$10+$K$10)*Table53[[#This Row],[Locality''s Allocation Percentage ]]</f>
        <v>244148.87749573821</v>
      </c>
      <c r="Z134" s="61">
        <f>($C$11+$D$11+$E$11+$F$11+$G$11+$H$11+$I$11+$J$11+$K$11)*Table53[[#This Row],[Locality''s Allocation Percentage ]]</f>
        <v>186007.87966481195</v>
      </c>
      <c r="AA134" s="61">
        <f>($C$12+$D$12+$E$12+$F$12+$G$12+$H$12+$I$12+$J$12+$K$12)*Table53[[#This Row],[Locality''s Allocation Percentage ]]</f>
        <v>260691.3983152312</v>
      </c>
      <c r="AB134" s="61">
        <f>($C$13+$D$13+$E$13+$F$13+$G$13+$H$13+$I$13+$J$13+$K$13)*Table53[[#This Row],[Locality''s Allocation Percentage ]]</f>
        <v>261877.52736399826</v>
      </c>
      <c r="AC134" s="61">
        <f>($C$14+$D$14+$E$14+$F$14+$G$14+$H$14+$I$14+$J$14+$K$14)*Table53[[#This Row],[Locality''s Allocation Percentage ]]</f>
        <v>245194.07484443317</v>
      </c>
      <c r="AD134" s="61">
        <f>($C$15+$D$15+$E$15+$F$15+$G$15+$H$15+$I$15+$J$15+$K$15)*Table53[[#This Row],[Locality''s Allocation Percentage ]]</f>
        <v>227541.60275065189</v>
      </c>
      <c r="AE134" s="61">
        <f>($C$16+$D$16+$E$16+$F$16+$G$16+$H$16+$I$16+$J$16+$K$16)*Table53[[#This Row],[Locality''s Allocation Percentage ]]</f>
        <v>209184.68982453889</v>
      </c>
      <c r="AF134" s="61">
        <f>($C$17+$D$17+$E$17+$F$17+$G$17+$H$17+$I$17+$J$17+$K$17)*Table53[[#This Row],[Locality''s Allocation Percentage ]]</f>
        <v>159638.49116949056</v>
      </c>
      <c r="AG134" s="61">
        <f>($C$18+$D$18+$E$18+$F$18+$G$18+$H$18+$I$18+$J$18+$K$18)*Table53[[#This Row],[Locality''s Allocation Percentage ]]</f>
        <v>159638.49116949056</v>
      </c>
      <c r="AH134" s="61">
        <f>($C$19+$D$19+$E$19+$F$19+$G$19+$H$19+$I$19+$J$19+$K$19)*Table53[[#This Row],[Locality''s Allocation Percentage ]]</f>
        <v>159638.49116949056</v>
      </c>
      <c r="AI134" s="61">
        <f>($C$20+$D$20+$E$20+$F$20+$G$20+$H$20+$I$20+$J$20+$K$20)*Table53[[#This Row],[Locality''s Allocation Percentage ]]</f>
        <v>132636.42000446984</v>
      </c>
      <c r="AJ134" s="61">
        <f>($C$21+$D$21+$E$21+$F$21+$G$21+$H$21+$I$21+$J$21+$K$21)*Table53[[#This Row],[Locality''s Allocation Percentage ]]</f>
        <v>132636.42000446984</v>
      </c>
      <c r="AK134" s="61">
        <f>($C$22+$D$22+$E$22+$F$22+$G$22+$H$22+$I$22+$J$22+$K$22)*Table53[[#This Row],[Locality''s Allocation Percentage ]]</f>
        <v>92861.032112772795</v>
      </c>
      <c r="AL134" s="61"/>
      <c r="AM134" s="61"/>
      <c r="AN134" s="61">
        <f>$L$6*Table53[[#This Row],[Locality''s Allocation Percentage ]]</f>
        <v>163569.34835352108</v>
      </c>
      <c r="AO134" s="61">
        <f>$L$7*Table53[[#This Row],[Locality''s Allocation Percentage ]]</f>
        <v>189339.93573370532</v>
      </c>
      <c r="AP134" s="61">
        <f>$L$8*Table53[[#This Row],[Locality''s Allocation Percentage ]]</f>
        <v>73731.656349497978</v>
      </c>
      <c r="AQ134" s="61">
        <f>$L$9*Table53[[#This Row],[Locality''s Allocation Percentage ]]</f>
        <v>80895.265698101139</v>
      </c>
      <c r="AR134" s="61">
        <f>$L$10*Table53[[#This Row],[Locality''s Allocation Percentage ]]</f>
        <v>86181.945494716143</v>
      </c>
      <c r="AS134" s="61">
        <f>$L$11*Table53[[#This Row],[Locality''s Allocation Percentage ]]</f>
        <v>64863.579623376507</v>
      </c>
      <c r="AT134" s="61">
        <f>$L$12*Table53[[#This Row],[Locality''s Allocation Percentage ]]</f>
        <v>92247.536461863579</v>
      </c>
      <c r="AU134" s="61">
        <f>$L$13*Table53[[#This Row],[Locality''s Allocation Percentage ]]</f>
        <v>92801.188610001132</v>
      </c>
      <c r="AV134" s="61">
        <f>$L$14*Table53[[#This Row],[Locality''s Allocation Percentage ]]</f>
        <v>86306.891787844957</v>
      </c>
      <c r="AW134" s="61">
        <f>$L$15*Table53[[#This Row],[Locality''s Allocation Percentage ]]</f>
        <v>79836.203118404126</v>
      </c>
      <c r="AX134" s="61">
        <f>$L$16*Table53[[#This Row],[Locality''s Allocation Percentage ]]</f>
        <v>73105.335045496031</v>
      </c>
      <c r="AY134" s="61">
        <f>$L$17*Table53[[#This Row],[Locality''s Allocation Percentage ]]</f>
        <v>57075.68253945098</v>
      </c>
      <c r="AZ134" s="61">
        <f>$L$18*Table53[[#This Row],[Locality''s Allocation Percentage ]]</f>
        <v>57075.68253945098</v>
      </c>
      <c r="BA134" s="61">
        <f>$L$19*Table53[[#This Row],[Locality''s Allocation Percentage ]]</f>
        <v>57075.68253945098</v>
      </c>
      <c r="BB134" s="61">
        <f>$L$20*Table53[[#This Row],[Locality''s Allocation Percentage ]]</f>
        <v>47174.923112276723</v>
      </c>
      <c r="BC134" s="61">
        <f>$L$21*Table53[[#This Row],[Locality''s Allocation Percentage ]]</f>
        <v>47174.923112276723</v>
      </c>
      <c r="BD134" s="61">
        <f>$L$22*Table53[[#This Row],[Locality''s Allocation Percentage ]]</f>
        <v>34049.045108016689</v>
      </c>
      <c r="BE134" s="61"/>
      <c r="BF134" s="61">
        <f t="shared" si="90"/>
        <v>0</v>
      </c>
      <c r="BG134" s="61">
        <f t="shared" si="90"/>
        <v>40892.337088380271</v>
      </c>
      <c r="BH134" s="61">
        <f t="shared" si="75"/>
        <v>47334.983933426331</v>
      </c>
      <c r="BI134" s="61">
        <f t="shared" si="76"/>
        <v>18432.914087374495</v>
      </c>
      <c r="BJ134" s="61">
        <f t="shared" si="77"/>
        <v>20223.816424525285</v>
      </c>
      <c r="BK134" s="61">
        <f t="shared" si="78"/>
        <v>21545.486373679036</v>
      </c>
      <c r="BL134" s="61">
        <f t="shared" si="79"/>
        <v>16215.894905844127</v>
      </c>
      <c r="BM134" s="61">
        <f t="shared" si="80"/>
        <v>23061.884115465895</v>
      </c>
      <c r="BN134" s="61">
        <f t="shared" si="81"/>
        <v>23200.297152500283</v>
      </c>
      <c r="BO134" s="61">
        <f t="shared" si="82"/>
        <v>21576.722946961239</v>
      </c>
      <c r="BP134" s="61">
        <f t="shared" si="83"/>
        <v>19959.050779601032</v>
      </c>
      <c r="BQ134" s="61">
        <f t="shared" si="84"/>
        <v>18276.333761374008</v>
      </c>
      <c r="BR134" s="61">
        <f t="shared" si="85"/>
        <v>14268.920634862745</v>
      </c>
      <c r="BS134" s="61">
        <f t="shared" si="86"/>
        <v>14268.920634862745</v>
      </c>
      <c r="BT134" s="61">
        <f t="shared" si="87"/>
        <v>14268.920634862745</v>
      </c>
      <c r="BU134" s="61">
        <f t="shared" si="88"/>
        <v>11793.730778069181</v>
      </c>
      <c r="BV134" s="61">
        <f t="shared" si="89"/>
        <v>11793.730778069181</v>
      </c>
      <c r="BW134" s="61">
        <f t="shared" si="74"/>
        <v>8512.2612770041724</v>
      </c>
      <c r="BX134" s="61"/>
      <c r="BY134" s="61">
        <f>($C$6+$D$6+$E$6)*Table53[[#This Row],[Locality''s Allocation Percentage ]]</f>
        <v>452033.23340389016</v>
      </c>
      <c r="BZ134" s="61">
        <f>$L$6*Table53[[#This Row],[Locality''s Allocation Percentage ]]</f>
        <v>163569.34835352108</v>
      </c>
      <c r="CA134" s="61">
        <f t="shared" si="91"/>
        <v>40892.337088380271</v>
      </c>
      <c r="CB134" s="76">
        <f>($C$7+$D$7+$E$7)*Table53[[#This Row],[Locality''s Allocation Percentage ]]</f>
        <v>163020.76198089469</v>
      </c>
      <c r="CC134" s="76">
        <f>$L$7*Table53[[#This Row],[Locality''s Allocation Percentage ]]</f>
        <v>189339.93573370532</v>
      </c>
      <c r="CD134" s="76">
        <f t="shared" si="92"/>
        <v>47334.983933426331</v>
      </c>
    </row>
    <row r="135" spans="2:82" s="19" customFormat="1" ht="18" customHeight="1" x14ac:dyDescent="0.25">
      <c r="P135" s="36" t="s">
        <v>315</v>
      </c>
      <c r="Q135" s="37">
        <v>6.4200642006420096E-3</v>
      </c>
      <c r="S135" s="22" t="s">
        <v>199</v>
      </c>
      <c r="T135" s="61">
        <f>($C$5+$D$5+$E$5+$F$5+$G$5+$H$5+$I$5+$J$5+$K$5)*Table53[[#This Row],[Locality''s Allocation Percentage ]]</f>
        <v>26105.966024499918</v>
      </c>
      <c r="U135" s="61">
        <f>($C$6+$D$6+$E$6+$F$6+$G$6+$H$6+$I$6+$J$6+$K$6)*Table53[[#This Row],[Locality''s Allocation Percentage ]]</f>
        <v>165264.99763399654</v>
      </c>
      <c r="V135" s="61">
        <f>($C$7+$D$7+$E$7+$F$7+$G$7+$H$7+$I$7+$J$7+$K$7)*Table53[[#This Row],[Locality''s Allocation Percentage ]]</f>
        <v>203814.03006284373</v>
      </c>
      <c r="W135" s="61">
        <f>($C$8+$D$8+$E$8+$F$8+$G$8+$H$8+$I$8+$J$8+$K$8)*Table53[[#This Row],[Locality''s Allocation Percentage ]]</f>
        <v>78162.229325375622</v>
      </c>
      <c r="X135" s="61">
        <f>($C$9+$D$9+$E$9+$F$9+$G$9+$H$9+$I$9+$J$9+$K$9)*Table53[[#This Row],[Locality''s Allocation Percentage ]]</f>
        <v>83990.366535105641</v>
      </c>
      <c r="Y135" s="61">
        <f>($C$10+$D$10+$E$10+$F$10+$G$10+$H$10+$I$10+$J$10+$K$10)*Table53[[#This Row],[Locality''s Allocation Percentage ]]</f>
        <v>89261.719448897595</v>
      </c>
      <c r="Z135" s="61">
        <f>($C$11+$D$11+$E$11+$F$11+$G$11+$H$11+$I$11+$J$11+$K$11)*Table53[[#This Row],[Locality''s Allocation Percentage ]]</f>
        <v>68005.158738501967</v>
      </c>
      <c r="AA135" s="61">
        <f>($C$12+$D$12+$E$12+$F$12+$G$12+$H$12+$I$12+$J$12+$K$12)*Table53[[#This Row],[Locality''s Allocation Percentage ]]</f>
        <v>95309.725352151872</v>
      </c>
      <c r="AB135" s="61">
        <f>($C$13+$D$13+$E$13+$F$13+$G$13+$H$13+$I$13+$J$13+$K$13)*Table53[[#This Row],[Locality''s Allocation Percentage ]]</f>
        <v>95743.378455402708</v>
      </c>
      <c r="AC135" s="61">
        <f>($C$14+$D$14+$E$14+$F$14+$G$14+$H$14+$I$14+$J$14+$K$14)*Table53[[#This Row],[Locality''s Allocation Percentage ]]</f>
        <v>89643.847408955771</v>
      </c>
      <c r="AD135" s="61">
        <f>($C$15+$D$15+$E$15+$F$15+$G$15+$H$15+$I$15+$J$15+$K$15)*Table53[[#This Row],[Locality''s Allocation Percentage ]]</f>
        <v>83190.039274441195</v>
      </c>
      <c r="AE135" s="61">
        <f>($C$16+$D$16+$E$16+$F$16+$G$16+$H$16+$I$16+$J$16+$K$16)*Table53[[#This Row],[Locality''s Allocation Percentage ]]</f>
        <v>76478.685004188024</v>
      </c>
      <c r="AF135" s="61">
        <f>($C$17+$D$17+$E$17+$F$17+$G$17+$H$17+$I$17+$J$17+$K$17)*Table53[[#This Row],[Locality''s Allocation Percentage ]]</f>
        <v>58364.414197501763</v>
      </c>
      <c r="AG135" s="61">
        <f>($C$18+$D$18+$E$18+$F$18+$G$18+$H$18+$I$18+$J$18+$K$18)*Table53[[#This Row],[Locality''s Allocation Percentage ]]</f>
        <v>58364.414197501763</v>
      </c>
      <c r="AH135" s="61">
        <f>($C$19+$D$19+$E$19+$F$19+$G$19+$H$19+$I$19+$J$19+$K$19)*Table53[[#This Row],[Locality''s Allocation Percentage ]]</f>
        <v>58364.414197501763</v>
      </c>
      <c r="AI135" s="61">
        <f>($C$20+$D$20+$E$20+$F$20+$G$20+$H$20+$I$20+$J$20+$K$20)*Table53[[#This Row],[Locality''s Allocation Percentage ]]</f>
        <v>48492.35856655454</v>
      </c>
      <c r="AJ135" s="61">
        <f>($C$21+$D$21+$E$21+$F$21+$G$21+$H$21+$I$21+$J$21+$K$21)*Table53[[#This Row],[Locality''s Allocation Percentage ]]</f>
        <v>48492.35856655454</v>
      </c>
      <c r="AK135" s="61">
        <f>($C$22+$D$22+$E$22+$F$22+$G$22+$H$22+$I$22+$J$22+$K$22)*Table53[[#This Row],[Locality''s Allocation Percentage ]]</f>
        <v>33950.331786104914</v>
      </c>
      <c r="AL135" s="61"/>
      <c r="AM135" s="61"/>
      <c r="AN135" s="61">
        <f>$L$6*Table53[[#This Row],[Locality''s Allocation Percentage ]]</f>
        <v>59801.549910569876</v>
      </c>
      <c r="AO135" s="61">
        <f>$L$7*Table53[[#This Row],[Locality''s Allocation Percentage ]]</f>
        <v>69223.37058145729</v>
      </c>
      <c r="AP135" s="61">
        <f>$L$8*Table53[[#This Row],[Locality''s Allocation Percentage ]]</f>
        <v>26956.562287231078</v>
      </c>
      <c r="AQ135" s="61">
        <f>$L$9*Table53[[#This Row],[Locality''s Allocation Percentage ]]</f>
        <v>29575.603973907178</v>
      </c>
      <c r="AR135" s="61">
        <f>$L$10*Table53[[#This Row],[Locality''s Allocation Percentage ]]</f>
        <v>31508.433375630895</v>
      </c>
      <c r="AS135" s="61">
        <f>$L$11*Table53[[#This Row],[Locality''s Allocation Percentage ]]</f>
        <v>23714.361115152496</v>
      </c>
      <c r="AT135" s="61">
        <f>$L$12*Table53[[#This Row],[Locality''s Allocation Percentage ]]</f>
        <v>33726.035540157463</v>
      </c>
      <c r="AU135" s="61">
        <f>$L$13*Table53[[#This Row],[Locality''s Allocation Percentage ]]</f>
        <v>33928.452783383153</v>
      </c>
      <c r="AV135" s="61">
        <f>$L$14*Table53[[#This Row],[Locality''s Allocation Percentage ]]</f>
        <v>31554.114195783906</v>
      </c>
      <c r="AW135" s="61">
        <f>$L$15*Table53[[#This Row],[Locality''s Allocation Percentage ]]</f>
        <v>29188.40683486078</v>
      </c>
      <c r="AX135" s="61">
        <f>$L$16*Table53[[#This Row],[Locality''s Allocation Percentage ]]</f>
        <v>26727.576935767949</v>
      </c>
      <c r="AY135" s="61">
        <f>$L$17*Table53[[#This Row],[Locality''s Allocation Percentage ]]</f>
        <v>20867.077557134158</v>
      </c>
      <c r="AZ135" s="61">
        <f>$L$18*Table53[[#This Row],[Locality''s Allocation Percentage ]]</f>
        <v>20867.077557134158</v>
      </c>
      <c r="BA135" s="61">
        <f>$L$19*Table53[[#This Row],[Locality''s Allocation Percentage ]]</f>
        <v>20867.077557134158</v>
      </c>
      <c r="BB135" s="61">
        <f>$L$20*Table53[[#This Row],[Locality''s Allocation Percentage ]]</f>
        <v>17247.323825786847</v>
      </c>
      <c r="BC135" s="61">
        <f>$L$21*Table53[[#This Row],[Locality''s Allocation Percentage ]]</f>
        <v>17247.323825786847</v>
      </c>
      <c r="BD135" s="61">
        <f>$L$22*Table53[[#This Row],[Locality''s Allocation Percentage ]]</f>
        <v>12448.454988238467</v>
      </c>
      <c r="BE135" s="61"/>
      <c r="BF135" s="61">
        <f t="shared" si="90"/>
        <v>0</v>
      </c>
      <c r="BG135" s="61">
        <f t="shared" si="90"/>
        <v>14950.387477642469</v>
      </c>
      <c r="BH135" s="61">
        <f t="shared" si="75"/>
        <v>17305.842645364322</v>
      </c>
      <c r="BI135" s="61">
        <f t="shared" si="76"/>
        <v>6739.1405718077694</v>
      </c>
      <c r="BJ135" s="61">
        <f t="shared" si="77"/>
        <v>7393.9009934767946</v>
      </c>
      <c r="BK135" s="61">
        <f t="shared" si="78"/>
        <v>7877.1083439077238</v>
      </c>
      <c r="BL135" s="61">
        <f t="shared" si="79"/>
        <v>5928.5902787881241</v>
      </c>
      <c r="BM135" s="61">
        <f t="shared" si="80"/>
        <v>8431.5088850393659</v>
      </c>
      <c r="BN135" s="61">
        <f t="shared" si="81"/>
        <v>8482.1131958457881</v>
      </c>
      <c r="BO135" s="61">
        <f t="shared" si="82"/>
        <v>7888.5285489459766</v>
      </c>
      <c r="BP135" s="61">
        <f t="shared" si="83"/>
        <v>7297.1017087151949</v>
      </c>
      <c r="BQ135" s="61">
        <f t="shared" si="84"/>
        <v>6681.8942339419873</v>
      </c>
      <c r="BR135" s="61">
        <f t="shared" si="85"/>
        <v>5216.7693892835396</v>
      </c>
      <c r="BS135" s="61">
        <f t="shared" si="86"/>
        <v>5216.7693892835396</v>
      </c>
      <c r="BT135" s="61">
        <f t="shared" si="87"/>
        <v>5216.7693892835396</v>
      </c>
      <c r="BU135" s="61">
        <f t="shared" si="88"/>
        <v>4311.8309564467118</v>
      </c>
      <c r="BV135" s="61">
        <f t="shared" si="89"/>
        <v>4311.8309564467118</v>
      </c>
      <c r="BW135" s="61">
        <f t="shared" si="74"/>
        <v>3112.1137470596168</v>
      </c>
      <c r="BX135" s="61"/>
      <c r="BY135" s="61">
        <f>($C$6+$D$6+$E$6)*Table53[[#This Row],[Locality''s Allocation Percentage ]]</f>
        <v>165264.99763399654</v>
      </c>
      <c r="BZ135" s="61">
        <f>$L$6*Table53[[#This Row],[Locality''s Allocation Percentage ]]</f>
        <v>59801.549910569876</v>
      </c>
      <c r="CA135" s="61">
        <f t="shared" si="91"/>
        <v>14950.387477642469</v>
      </c>
      <c r="CB135" s="76">
        <f>($C$7+$D$7+$E$7)*Table53[[#This Row],[Locality''s Allocation Percentage ]]</f>
        <v>59600.984733334022</v>
      </c>
      <c r="CC135" s="76">
        <f>$L$7*Table53[[#This Row],[Locality''s Allocation Percentage ]]</f>
        <v>69223.37058145729</v>
      </c>
      <c r="CD135" s="76">
        <f t="shared" si="92"/>
        <v>17305.842645364322</v>
      </c>
    </row>
    <row r="136" spans="2:82" s="19" customFormat="1" ht="18" customHeight="1" x14ac:dyDescent="0.25">
      <c r="P136" s="59" t="s">
        <v>316</v>
      </c>
      <c r="Q136" s="60">
        <v>5.6100561005610096E-3</v>
      </c>
      <c r="S136" s="22" t="s">
        <v>200</v>
      </c>
      <c r="T136" s="61">
        <f>($C$5+$D$5+$E$5+$F$5+$G$5+$H$5+$I$5+$J$5+$K$5)*Table53[[#This Row],[Locality''s Allocation Percentage ]]</f>
        <v>22812.222647577037</v>
      </c>
      <c r="U136" s="61">
        <f>($C$6+$D$6+$E$6+$F$6+$G$6+$H$6+$I$6+$J$6+$K$6)*Table53[[#This Row],[Locality''s Allocation Percentage ]]</f>
        <v>144413.80634372597</v>
      </c>
      <c r="V136" s="61">
        <f>($C$7+$D$7+$E$7+$F$7+$G$7+$H$7+$I$7+$J$7+$K$7)*Table53[[#This Row],[Locality''s Allocation Percentage ]]</f>
        <v>178099.17580257842</v>
      </c>
      <c r="W136" s="61">
        <f>($C$8+$D$8+$E$8+$F$8+$G$8+$H$8+$I$8+$J$8+$K$8)*Table53[[#This Row],[Locality''s Allocation Percentage ]]</f>
        <v>68300.639644136667</v>
      </c>
      <c r="X136" s="61">
        <f>($C$9+$D$9+$E$9+$F$9+$G$9+$H$9+$I$9+$J$9+$K$9)*Table53[[#This Row],[Locality''s Allocation Percentage ]]</f>
        <v>73393.451131143724</v>
      </c>
      <c r="Y136" s="61">
        <f>($C$10+$D$10+$E$10+$F$10+$G$10+$H$10+$I$10+$J$10+$K$10)*Table53[[#This Row],[Locality''s Allocation Percentage ]]</f>
        <v>77999.726808148844</v>
      </c>
      <c r="Z136" s="61">
        <f>($C$11+$D$11+$E$11+$F$11+$G$11+$H$11+$I$11+$J$11+$K$11)*Table53[[#This Row],[Locality''s Allocation Percentage ]]</f>
        <v>59425.068617289115</v>
      </c>
      <c r="AA136" s="61">
        <f>($C$12+$D$12+$E$12+$F$12+$G$12+$H$12+$I$12+$J$12+$K$12)*Table53[[#This Row],[Locality''s Allocation Percentage ]]</f>
        <v>83284.666546039269</v>
      </c>
      <c r="AB136" s="61">
        <f>($C$13+$D$13+$E$13+$F$13+$G$13+$H$13+$I$13+$J$13+$K$13)*Table53[[#This Row],[Locality''s Allocation Percentage ]]</f>
        <v>83663.606407291169</v>
      </c>
      <c r="AC136" s="61">
        <f>($C$14+$D$14+$E$14+$F$14+$G$14+$H$14+$I$14+$J$14+$K$14)*Table53[[#This Row],[Locality''s Allocation Percentage ]]</f>
        <v>78333.64236203146</v>
      </c>
      <c r="AD136" s="61">
        <f>($C$15+$D$15+$E$15+$F$15+$G$15+$H$15+$I$15+$J$15+$K$15)*Table53[[#This Row],[Locality''s Allocation Percentage ]]</f>
        <v>72694.099739815443</v>
      </c>
      <c r="AE136" s="61">
        <f>($C$16+$D$16+$E$16+$F$16+$G$16+$H$16+$I$16+$J$16+$K$16)*Table53[[#This Row],[Locality''s Allocation Percentage ]]</f>
        <v>66829.505120482077</v>
      </c>
      <c r="AF136" s="61">
        <f>($C$17+$D$17+$E$17+$F$17+$G$17+$H$17+$I$17+$J$17)*Table53[[#This Row],[Locality''s Allocation Percentage ]]</f>
        <v>51000.679695947809</v>
      </c>
      <c r="AG136" s="61">
        <f>($C$18+$D$18+$E$18+$F$18+$G$18+$H$18+$I$18+$J$18+$K$18)*Table53[[#This Row],[Locality''s Allocation Percentage ]]</f>
        <v>51000.679695947809</v>
      </c>
      <c r="AH136" s="61">
        <f>($C$19+$D$19+$E$19+$F$19+$G$19+$H$19+$I$19+$J$19+$K$19)*Table53[[#This Row],[Locality''s Allocation Percentage ]]</f>
        <v>51000.679695947809</v>
      </c>
      <c r="AI136" s="61">
        <f>($C$20+$D$20+$E$20+$F$20+$G$20+$H$20+$I$20+$J$20+$K$20)*Table53[[#This Row],[Locality''s Allocation Percentage ]]</f>
        <v>42374.163794138789</v>
      </c>
      <c r="AJ136" s="61">
        <f>($C$21+$D$21+$E$21+$F$21+$G$21+$H$21+$I$21+$J$21+$K$21)*Table53[[#This Row],[Locality''s Allocation Percentage ]]</f>
        <v>42374.163794138789</v>
      </c>
      <c r="AK136" s="61">
        <f>($C$22+$D$22+$E$22+$F$22+$G$22+$H$22+$I$22+$J$22+$K$22)*Table53[[#This Row],[Locality''s Allocation Percentage ]]</f>
        <v>29666.878710287943</v>
      </c>
      <c r="AL136" s="61"/>
      <c r="AM136" s="61"/>
      <c r="AN136" s="61">
        <f>$L$6*Table53[[#This Row],[Locality''s Allocation Percentage ]]</f>
        <v>52256.49454802135</v>
      </c>
      <c r="AO136" s="61">
        <f>$L$7*Table53[[#This Row],[Locality''s Allocation Percentage ]]</f>
        <v>60489.580835198671</v>
      </c>
      <c r="AP136" s="61">
        <f>$L$8*Table53[[#This Row],[Locality''s Allocation Percentage ]]</f>
        <v>23555.500690243985</v>
      </c>
      <c r="AQ136" s="61">
        <f>$L$9*Table53[[#This Row],[Locality''s Allocation Percentage ]]</f>
        <v>25844.102537946932</v>
      </c>
      <c r="AR136" s="61">
        <f>$L$10*Table53[[#This Row],[Locality''s Allocation Percentage ]]</f>
        <v>27533.070286182141</v>
      </c>
      <c r="AS136" s="61">
        <f>$L$11*Table53[[#This Row],[Locality''s Allocation Percentage ]]</f>
        <v>20722.362282866903</v>
      </c>
      <c r="AT136" s="61">
        <f>$L$12*Table53[[#This Row],[Locality''s Allocation Percentage ]]</f>
        <v>29470.881523408629</v>
      </c>
      <c r="AU136" s="61">
        <f>$L$13*Table53[[#This Row],[Locality''s Allocation Percentage ]]</f>
        <v>29647.760142489024</v>
      </c>
      <c r="AV136" s="61">
        <f>$L$14*Table53[[#This Row],[Locality''s Allocation Percentage ]]</f>
        <v>27572.987638371924</v>
      </c>
      <c r="AW136" s="61">
        <f>$L$15*Table53[[#This Row],[Locality''s Allocation Percentage ]]</f>
        <v>25505.757374387696</v>
      </c>
      <c r="AX136" s="61">
        <f>$L$16*Table53[[#This Row],[Locality''s Allocation Percentage ]]</f>
        <v>23355.406013965458</v>
      </c>
      <c r="AY136" s="61">
        <f>$L$17*Table53[[#This Row],[Locality''s Allocation Percentage ]]</f>
        <v>18234.315435439668</v>
      </c>
      <c r="AZ136" s="61">
        <f>$L$18*Table53[[#This Row],[Locality''s Allocation Percentage ]]</f>
        <v>18234.315435439668</v>
      </c>
      <c r="BA136" s="61">
        <f>$L$19*Table53[[#This Row],[Locality''s Allocation Percentage ]]</f>
        <v>18234.315435439668</v>
      </c>
      <c r="BB136" s="61">
        <f>$L$20*Table53[[#This Row],[Locality''s Allocation Percentage ]]</f>
        <v>15071.259604776358</v>
      </c>
      <c r="BC136" s="61">
        <f>$L$21*Table53[[#This Row],[Locality''s Allocation Percentage ]]</f>
        <v>15071.259604776358</v>
      </c>
      <c r="BD136" s="61">
        <f>$L$22*Table53[[#This Row],[Locality''s Allocation Percentage ]]</f>
        <v>10877.855527105579</v>
      </c>
      <c r="BE136" s="61"/>
      <c r="BF136" s="61">
        <f t="shared" si="90"/>
        <v>0</v>
      </c>
      <c r="BG136" s="61">
        <f t="shared" si="90"/>
        <v>13064.123637005338</v>
      </c>
      <c r="BH136" s="61">
        <f t="shared" si="75"/>
        <v>15122.395208799668</v>
      </c>
      <c r="BI136" s="61">
        <f t="shared" si="76"/>
        <v>5888.8751725609964</v>
      </c>
      <c r="BJ136" s="61">
        <f t="shared" si="77"/>
        <v>6461.025634486733</v>
      </c>
      <c r="BK136" s="61">
        <f t="shared" si="78"/>
        <v>6883.2675715455352</v>
      </c>
      <c r="BL136" s="61">
        <f t="shared" si="79"/>
        <v>5180.5905707167258</v>
      </c>
      <c r="BM136" s="61">
        <f t="shared" si="80"/>
        <v>7367.7203808521572</v>
      </c>
      <c r="BN136" s="61">
        <f t="shared" si="81"/>
        <v>7411.9400356222559</v>
      </c>
      <c r="BO136" s="61">
        <f t="shared" si="82"/>
        <v>6893.246909592981</v>
      </c>
      <c r="BP136" s="61">
        <f t="shared" si="83"/>
        <v>6376.4393435969241</v>
      </c>
      <c r="BQ136" s="61">
        <f t="shared" si="84"/>
        <v>5838.8515034913644</v>
      </c>
      <c r="BR136" s="61">
        <f t="shared" si="85"/>
        <v>4558.5788588599171</v>
      </c>
      <c r="BS136" s="61">
        <f t="shared" si="86"/>
        <v>4558.5788588599171</v>
      </c>
      <c r="BT136" s="61">
        <f t="shared" si="87"/>
        <v>4558.5788588599171</v>
      </c>
      <c r="BU136" s="61">
        <f t="shared" si="88"/>
        <v>3767.8149011940895</v>
      </c>
      <c r="BV136" s="61">
        <f t="shared" si="89"/>
        <v>3767.8149011940895</v>
      </c>
      <c r="BW136" s="61">
        <f t="shared" si="74"/>
        <v>2719.4638817763948</v>
      </c>
      <c r="BX136" s="61"/>
      <c r="BY136" s="61">
        <f>($C$6+$D$6+$E$6)*Table53[[#This Row],[Locality''s Allocation Percentage ]]</f>
        <v>144413.80634372597</v>
      </c>
      <c r="BZ136" s="61">
        <f>$L$6*Table53[[#This Row],[Locality''s Allocation Percentage ]]</f>
        <v>52256.49454802135</v>
      </c>
      <c r="CA136" s="61">
        <f t="shared" si="91"/>
        <v>13064.123637005338</v>
      </c>
      <c r="CB136" s="76">
        <f>($C$7+$D$7+$E$7)*Table53[[#This Row],[Locality''s Allocation Percentage ]]</f>
        <v>52081.23432305357</v>
      </c>
      <c r="CC136" s="76">
        <f>$L$7*Table53[[#This Row],[Locality''s Allocation Percentage ]]</f>
        <v>60489.580835198671</v>
      </c>
      <c r="CD136" s="76">
        <f t="shared" si="92"/>
        <v>15122.395208799668</v>
      </c>
    </row>
    <row r="137" spans="2:82" s="19" customFormat="1" ht="18" customHeight="1" x14ac:dyDescent="0.25">
      <c r="P137"/>
      <c r="Q137"/>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row>
    <row r="138" spans="2:82" s="19" customFormat="1" ht="18" customHeight="1" x14ac:dyDescent="0.25">
      <c r="P138"/>
      <c r="Q138"/>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23">
        <f>SUM(CB4:CB136)</f>
        <v>9283549.6454028971</v>
      </c>
      <c r="CC138" s="23">
        <f t="shared" ref="CC138:CD138" si="93">SUM(CC4:CC136)</f>
        <v>10782348.652297722</v>
      </c>
      <c r="CD138" s="23">
        <f t="shared" si="93"/>
        <v>2695587.1630744305</v>
      </c>
    </row>
    <row r="139" spans="2:82" s="19" customFormat="1" ht="18" customHeight="1" x14ac:dyDescent="0.2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row>
    <row r="140" spans="2:82" x14ac:dyDescent="0.25">
      <c r="B140" s="19"/>
      <c r="C140" s="19"/>
      <c r="D140" s="19"/>
      <c r="E140" s="19"/>
      <c r="F140" s="19"/>
      <c r="G140" s="19"/>
      <c r="H140" s="19"/>
      <c r="I140" s="19"/>
      <c r="J140" s="19"/>
      <c r="K140" s="19"/>
      <c r="L140" s="19"/>
    </row>
  </sheetData>
  <mergeCells count="3">
    <mergeCell ref="B1:C1"/>
    <mergeCell ref="B24:M28"/>
    <mergeCell ref="B31:L32"/>
  </mergeCells>
  <phoneticPr fontId="12" type="noConversion"/>
  <pageMargins left="0.7" right="0.7" top="0.75" bottom="0.75" header="0.3" footer="0.3"/>
  <pageSetup orientation="portrait" r:id="rId1"/>
  <ignoredErrors>
    <ignoredError sqref="I5 I6:I22" 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4456-F622-4EA7-BCF2-D4292F7C8605}">
  <dimension ref="A1:S136"/>
  <sheetViews>
    <sheetView workbookViewId="0">
      <selection activeCell="E11" sqref="E11"/>
    </sheetView>
  </sheetViews>
  <sheetFormatPr defaultRowHeight="15" x14ac:dyDescent="0.25"/>
  <cols>
    <col min="1" max="1" width="23" bestFit="1" customWidth="1"/>
    <col min="2" max="19" width="12.7109375" customWidth="1"/>
  </cols>
  <sheetData>
    <row r="1" spans="1:19" x14ac:dyDescent="0.25">
      <c r="A1" s="1" t="s">
        <v>331</v>
      </c>
    </row>
    <row r="2" spans="1:19" x14ac:dyDescent="0.25">
      <c r="A2">
        <v>1</v>
      </c>
      <c r="B2">
        <v>2</v>
      </c>
      <c r="C2">
        <v>3</v>
      </c>
      <c r="D2">
        <v>4</v>
      </c>
      <c r="E2">
        <v>5</v>
      </c>
      <c r="F2">
        <v>6</v>
      </c>
      <c r="G2">
        <v>7</v>
      </c>
      <c r="H2">
        <v>8</v>
      </c>
      <c r="I2">
        <v>9</v>
      </c>
      <c r="J2">
        <v>10</v>
      </c>
      <c r="K2">
        <v>11</v>
      </c>
      <c r="L2">
        <v>12</v>
      </c>
      <c r="M2">
        <v>13</v>
      </c>
      <c r="N2">
        <v>14</v>
      </c>
      <c r="O2">
        <v>15</v>
      </c>
      <c r="P2">
        <v>16</v>
      </c>
      <c r="Q2">
        <v>17</v>
      </c>
      <c r="R2">
        <v>18</v>
      </c>
      <c r="S2">
        <v>19</v>
      </c>
    </row>
    <row r="3" spans="1:19" s="4" customFormat="1" x14ac:dyDescent="0.25">
      <c r="B3" s="4" t="s">
        <v>55</v>
      </c>
      <c r="C3" s="4" t="s">
        <v>57</v>
      </c>
      <c r="D3" s="4" t="s">
        <v>59</v>
      </c>
      <c r="E3" s="4" t="s">
        <v>61</v>
      </c>
      <c r="F3" s="4" t="s">
        <v>63</v>
      </c>
      <c r="G3" s="4" t="s">
        <v>65</v>
      </c>
      <c r="H3" s="4" t="s">
        <v>66</v>
      </c>
      <c r="I3" s="4" t="s">
        <v>68</v>
      </c>
      <c r="J3" s="4" t="s">
        <v>70</v>
      </c>
      <c r="K3" s="4" t="s">
        <v>72</v>
      </c>
      <c r="L3" s="4" t="s">
        <v>74</v>
      </c>
      <c r="M3" s="4" t="s">
        <v>76</v>
      </c>
      <c r="N3" s="4" t="s">
        <v>78</v>
      </c>
      <c r="O3" s="4" t="s">
        <v>80</v>
      </c>
      <c r="P3" s="4" t="s">
        <v>82</v>
      </c>
      <c r="Q3" s="4" t="s">
        <v>84</v>
      </c>
      <c r="R3" s="4" t="s">
        <v>86</v>
      </c>
      <c r="S3" s="4" t="s">
        <v>88</v>
      </c>
    </row>
    <row r="4" spans="1:19" x14ac:dyDescent="0.25">
      <c r="A4" t="str">
        <f>'Local multi year dist'!S4</f>
        <v>Accomack County</v>
      </c>
      <c r="B4" s="2">
        <f>IFERROR(VLOOKUP(A4,'Approved individual amount data'!$A$1:$S$135,2,FALSE),"")</f>
        <v>0</v>
      </c>
      <c r="C4" s="2">
        <f>IFERROR(VLOOKUP(A4,'Approved individual amount data'!$A$1:$S$135,3,FALSE),"")</f>
        <v>0</v>
      </c>
      <c r="D4" s="2">
        <f>IFERROR(VLOOKUP(A4,'Approved individual amount data'!$A$1:$S$135,4,FALSE),"")</f>
        <v>30734</v>
      </c>
      <c r="E4" s="2">
        <f>IFERROR(VLOOKUP(A4,'Approved individual amount data'!$A$1:$S$135,5,FALSE),"")</f>
        <v>10982</v>
      </c>
      <c r="F4" s="2">
        <f>IFERROR(VLOOKUP(A4,'Approved individual amount data'!$A$1:$S$135,6,FALSE),"")</f>
        <v>0</v>
      </c>
      <c r="G4" s="2">
        <f>IFERROR(VLOOKUP(A4,'Approved individual amount data'!$A$1:$S$135,7,FALSE),"")</f>
        <v>0</v>
      </c>
      <c r="H4" s="2">
        <f>IFERROR(VLOOKUP(A4,'Approved individual amount data'!$A$1:$S$135,8,FALSE),"")</f>
        <v>0</v>
      </c>
      <c r="I4" s="2">
        <f>IFERROR(VLOOKUP(A4,'Approved individual amount data'!$A$1:$S$135,9,FALSE),"")</f>
        <v>0</v>
      </c>
      <c r="J4" s="2">
        <f>IFERROR(VLOOKUP(A4,'Approved individual amount data'!$A$1:$S$135,10,FALSE),"")</f>
        <v>0</v>
      </c>
      <c r="K4" s="2">
        <f>IFERROR(VLOOKUP(A4,'Approved individual amount data'!$A$1:$S$135,11,FALSE),"")</f>
        <v>0</v>
      </c>
      <c r="L4" s="2">
        <f>IFERROR(VLOOKUP(A4,'Approved individual amount data'!$A$1:$S$135,12,FALSE),"")</f>
        <v>0</v>
      </c>
      <c r="M4" s="2">
        <f>IFERROR(VLOOKUP(A4,'Approved individual amount data'!$A$1:$S$135,13,FALSE),"")</f>
        <v>0</v>
      </c>
      <c r="N4" s="2">
        <f>IFERROR(VLOOKUP(A4,'Approved individual amount data'!$A$1:$S$135,14,FALSE),"")</f>
        <v>0</v>
      </c>
      <c r="O4" s="2">
        <f>IFERROR(VLOOKUP(A4,'Approved individual amount data'!$A$1:$S$135,15,FALSE),"")</f>
        <v>0</v>
      </c>
      <c r="P4" s="2">
        <f>IFERROR(VLOOKUP(A4,'Approved individual amount data'!$A$1:$S$135,16,FALSE),"")</f>
        <v>0</v>
      </c>
      <c r="Q4" s="2">
        <f>IFERROR(VLOOKUP(A4,'Approved individual amount data'!$A$1:$S$135,17,FALSE),"")</f>
        <v>0</v>
      </c>
      <c r="R4" s="2">
        <f>IFERROR(VLOOKUP(A4,'Approved individual amount data'!$A$1:$S$135,18,FALSE),"")</f>
        <v>0</v>
      </c>
      <c r="S4" s="2">
        <f>IFERROR(VLOOKUP(A4,'Approved individual amount data'!$A$1:$S$135,19,FALSE),"")</f>
        <v>0</v>
      </c>
    </row>
    <row r="5" spans="1:19" x14ac:dyDescent="0.25">
      <c r="A5" t="str">
        <f>'Local multi year dist'!S5</f>
        <v>Albemarle County</v>
      </c>
      <c r="B5" s="2">
        <f>IFERROR(VLOOKUP(A5,'Approved individual amount data'!$A$1:$S$135,2,FALSE),"")</f>
        <v>0</v>
      </c>
      <c r="C5" s="2">
        <f>IFERROR(VLOOKUP(A5,'Approved individual amount data'!$A$1:$S$135,3,FALSE),"")</f>
        <v>0</v>
      </c>
      <c r="D5" s="2">
        <f>IFERROR(VLOOKUP(A5,'Approved individual amount data'!$A$1:$S$135,4,FALSE),"")</f>
        <v>0</v>
      </c>
      <c r="E5" s="2">
        <f>IFERROR(VLOOKUP(A5,'Approved individual amount data'!$A$1:$S$135,5,FALSE),"")</f>
        <v>5000</v>
      </c>
      <c r="F5" s="2">
        <f>IFERROR(VLOOKUP(A5,'Approved individual amount data'!$A$1:$S$135,6,FALSE),"")</f>
        <v>0</v>
      </c>
      <c r="G5" s="2">
        <f>IFERROR(VLOOKUP(A5,'Approved individual amount data'!$A$1:$S$135,7,FALSE),"")</f>
        <v>0</v>
      </c>
      <c r="H5" s="2">
        <f>IFERROR(VLOOKUP(A5,'Approved individual amount data'!$A$1:$S$135,8,FALSE),"")</f>
        <v>0</v>
      </c>
      <c r="I5" s="2">
        <f>IFERROR(VLOOKUP(A5,'Approved individual amount data'!$A$1:$S$135,9,FALSE),"")</f>
        <v>0</v>
      </c>
      <c r="J5" s="2">
        <f>IFERROR(VLOOKUP(A5,'Approved individual amount data'!$A$1:$S$135,10,FALSE),"")</f>
        <v>0</v>
      </c>
      <c r="K5" s="2">
        <f>IFERROR(VLOOKUP(A5,'Approved individual amount data'!$A$1:$S$135,11,FALSE),"")</f>
        <v>0</v>
      </c>
      <c r="L5" s="2">
        <f>IFERROR(VLOOKUP(A5,'Approved individual amount data'!$A$1:$S$135,12,FALSE),"")</f>
        <v>0</v>
      </c>
      <c r="M5" s="2">
        <f>IFERROR(VLOOKUP(A5,'Approved individual amount data'!$A$1:$S$135,13,FALSE),"")</f>
        <v>0</v>
      </c>
      <c r="N5" s="2">
        <f>IFERROR(VLOOKUP(A5,'Approved individual amount data'!$A$1:$S$135,14,FALSE),"")</f>
        <v>0</v>
      </c>
      <c r="O5" s="2">
        <f>IFERROR(VLOOKUP(A5,'Approved individual amount data'!$A$1:$S$135,15,FALSE),"")</f>
        <v>0</v>
      </c>
      <c r="P5" s="2">
        <f>IFERROR(VLOOKUP(A5,'Approved individual amount data'!$A$1:$S$135,16,FALSE),"")</f>
        <v>0</v>
      </c>
      <c r="Q5" s="2">
        <f>IFERROR(VLOOKUP(A5,'Approved individual amount data'!$A$1:$S$135,17,FALSE),"")</f>
        <v>0</v>
      </c>
      <c r="R5" s="2">
        <f>IFERROR(VLOOKUP(A5,'Approved individual amount data'!$A$1:$S$135,18,FALSE),"")</f>
        <v>0</v>
      </c>
      <c r="S5" s="2">
        <f>IFERROR(VLOOKUP(A5,'Approved individual amount data'!$A$1:$S$135,19,FALSE),"")</f>
        <v>0</v>
      </c>
    </row>
    <row r="6" spans="1:19" x14ac:dyDescent="0.25">
      <c r="A6" t="str">
        <f>'Local multi year dist'!S6</f>
        <v>Alexandria City</v>
      </c>
      <c r="B6" s="2">
        <f>IFERROR(VLOOKUP(A6,'Approved individual amount data'!$A$1:$S$135,2,FALSE),"")</f>
        <v>0</v>
      </c>
      <c r="C6" s="2">
        <f>IFERROR(VLOOKUP(A6,'Approved individual amount data'!$A$1:$S$135,3,FALSE),"")</f>
        <v>0</v>
      </c>
      <c r="D6" s="2">
        <f>IFERROR(VLOOKUP(A6,'Approved individual amount data'!$A$1:$S$135,4,FALSE),"")</f>
        <v>0</v>
      </c>
      <c r="E6" s="2">
        <f>IFERROR(VLOOKUP(A6,'Approved individual amount data'!$A$1:$S$135,5,FALSE),"")</f>
        <v>0</v>
      </c>
      <c r="F6" s="2">
        <f>IFERROR(VLOOKUP(A6,'Approved individual amount data'!$A$1:$S$135,6,FALSE),"")</f>
        <v>0</v>
      </c>
      <c r="G6" s="2">
        <f>IFERROR(VLOOKUP(A6,'Approved individual amount data'!$A$1:$S$135,7,FALSE),"")</f>
        <v>0</v>
      </c>
      <c r="H6" s="2">
        <f>IFERROR(VLOOKUP(A6,'Approved individual amount data'!$A$1:$S$135,8,FALSE),"")</f>
        <v>0</v>
      </c>
      <c r="I6" s="2">
        <f>IFERROR(VLOOKUP(A6,'Approved individual amount data'!$A$1:$S$135,9,FALSE),"")</f>
        <v>0</v>
      </c>
      <c r="J6" s="2">
        <f>IFERROR(VLOOKUP(A6,'Approved individual amount data'!$A$1:$S$135,10,FALSE),"")</f>
        <v>0</v>
      </c>
      <c r="K6" s="2">
        <f>IFERROR(VLOOKUP(A6,'Approved individual amount data'!$A$1:$S$135,11,FALSE),"")</f>
        <v>0</v>
      </c>
      <c r="L6" s="2">
        <f>IFERROR(VLOOKUP(A6,'Approved individual amount data'!$A$1:$S$135,12,FALSE),"")</f>
        <v>0</v>
      </c>
      <c r="M6" s="2">
        <f>IFERROR(VLOOKUP(A6,'Approved individual amount data'!$A$1:$S$135,13,FALSE),"")</f>
        <v>0</v>
      </c>
      <c r="N6" s="2">
        <f>IFERROR(VLOOKUP(A6,'Approved individual amount data'!$A$1:$S$135,14,FALSE),"")</f>
        <v>0</v>
      </c>
      <c r="O6" s="2">
        <f>IFERROR(VLOOKUP(A6,'Approved individual amount data'!$A$1:$S$135,15,FALSE),"")</f>
        <v>0</v>
      </c>
      <c r="P6" s="2">
        <f>IFERROR(VLOOKUP(A6,'Approved individual amount data'!$A$1:$S$135,16,FALSE),"")</f>
        <v>0</v>
      </c>
      <c r="Q6" s="2">
        <f>IFERROR(VLOOKUP(A6,'Approved individual amount data'!$A$1:$S$135,17,FALSE),"")</f>
        <v>0</v>
      </c>
      <c r="R6" s="2">
        <f>IFERROR(VLOOKUP(A6,'Approved individual amount data'!$A$1:$S$135,18,FALSE),"")</f>
        <v>0</v>
      </c>
      <c r="S6" s="2">
        <f>IFERROR(VLOOKUP(A6,'Approved individual amount data'!$A$1:$S$135,19,FALSE),"")</f>
        <v>0</v>
      </c>
    </row>
    <row r="7" spans="1:19" x14ac:dyDescent="0.25">
      <c r="A7" t="str">
        <f>'Local multi year dist'!S7</f>
        <v>Alleghany County</v>
      </c>
      <c r="B7" s="2">
        <f>IFERROR(VLOOKUP(A7,'Approved individual amount data'!$A$1:$S$135,2,FALSE),"")</f>
        <v>0</v>
      </c>
      <c r="C7" s="2">
        <f>IFERROR(VLOOKUP(A7,'Approved individual amount data'!$A$1:$S$135,3,FALSE),"")</f>
        <v>0</v>
      </c>
      <c r="D7" s="2">
        <f>IFERROR(VLOOKUP(A7,'Approved individual amount data'!$A$1:$S$135,4,FALSE),"")</f>
        <v>0</v>
      </c>
      <c r="E7" s="2">
        <f>IFERROR(VLOOKUP(A7,'Approved individual amount data'!$A$1:$S$135,5,FALSE),"")</f>
        <v>28995</v>
      </c>
      <c r="F7" s="2">
        <f>IFERROR(VLOOKUP(A7,'Approved individual amount data'!$A$1:$S$135,6,FALSE),"")</f>
        <v>0</v>
      </c>
      <c r="G7" s="2">
        <f>IFERROR(VLOOKUP(A7,'Approved individual amount data'!$A$1:$S$135,7,FALSE),"")</f>
        <v>0</v>
      </c>
      <c r="H7" s="2">
        <f>IFERROR(VLOOKUP(A7,'Approved individual amount data'!$A$1:$S$135,8,FALSE),"")</f>
        <v>0</v>
      </c>
      <c r="I7" s="2">
        <f>IFERROR(VLOOKUP(A7,'Approved individual amount data'!$A$1:$S$135,9,FALSE),"")</f>
        <v>0</v>
      </c>
      <c r="J7" s="2">
        <f>IFERROR(VLOOKUP(A7,'Approved individual amount data'!$A$1:$S$135,10,FALSE),"")</f>
        <v>0</v>
      </c>
      <c r="K7" s="2">
        <f>IFERROR(VLOOKUP(A7,'Approved individual amount data'!$A$1:$S$135,11,FALSE),"")</f>
        <v>0</v>
      </c>
      <c r="L7" s="2">
        <f>IFERROR(VLOOKUP(A7,'Approved individual amount data'!$A$1:$S$135,12,FALSE),"")</f>
        <v>0</v>
      </c>
      <c r="M7" s="2">
        <f>IFERROR(VLOOKUP(A7,'Approved individual amount data'!$A$1:$S$135,13,FALSE),"")</f>
        <v>0</v>
      </c>
      <c r="N7" s="2">
        <f>IFERROR(VLOOKUP(A7,'Approved individual amount data'!$A$1:$S$135,14,FALSE),"")</f>
        <v>0</v>
      </c>
      <c r="O7" s="2">
        <f>IFERROR(VLOOKUP(A7,'Approved individual amount data'!$A$1:$S$135,15,FALSE),"")</f>
        <v>0</v>
      </c>
      <c r="P7" s="2">
        <f>IFERROR(VLOOKUP(A7,'Approved individual amount data'!$A$1:$S$135,16,FALSE),"")</f>
        <v>0</v>
      </c>
      <c r="Q7" s="2">
        <f>IFERROR(VLOOKUP(A7,'Approved individual amount data'!$A$1:$S$135,17,FALSE),"")</f>
        <v>0</v>
      </c>
      <c r="R7" s="2">
        <f>IFERROR(VLOOKUP(A7,'Approved individual amount data'!$A$1:$S$135,18,FALSE),"")</f>
        <v>0</v>
      </c>
      <c r="S7" s="2">
        <f>IFERROR(VLOOKUP(A7,'Approved individual amount data'!$A$1:$S$135,19,FALSE),"")</f>
        <v>0</v>
      </c>
    </row>
    <row r="8" spans="1:19" x14ac:dyDescent="0.25">
      <c r="A8" t="str">
        <f>'Local multi year dist'!S8</f>
        <v>Amelia County</v>
      </c>
      <c r="B8" s="2">
        <f>IFERROR(VLOOKUP(A8,'Approved individual amount data'!$A$1:$S$135,2,FALSE),"")</f>
        <v>0</v>
      </c>
      <c r="C8" s="2">
        <f>IFERROR(VLOOKUP(A8,'Approved individual amount data'!$A$1:$S$135,3,FALSE),"")</f>
        <v>0</v>
      </c>
      <c r="D8" s="2">
        <f>IFERROR(VLOOKUP(A8,'Approved individual amount data'!$A$1:$S$135,4,FALSE),"")</f>
        <v>0</v>
      </c>
      <c r="E8" s="2">
        <f>IFERROR(VLOOKUP(A8,'Approved individual amount data'!$A$1:$S$135,5,FALSE),"")</f>
        <v>0</v>
      </c>
      <c r="F8" s="2">
        <f>IFERROR(VLOOKUP(A8,'Approved individual amount data'!$A$1:$S$135,6,FALSE),"")</f>
        <v>0</v>
      </c>
      <c r="G8" s="2">
        <f>IFERROR(VLOOKUP(A8,'Approved individual amount data'!$A$1:$S$135,7,FALSE),"")</f>
        <v>0</v>
      </c>
      <c r="H8" s="2">
        <f>IFERROR(VLOOKUP(A8,'Approved individual amount data'!$A$1:$S$135,8,FALSE),"")</f>
        <v>0</v>
      </c>
      <c r="I8" s="2">
        <f>IFERROR(VLOOKUP(A8,'Approved individual amount data'!$A$1:$S$135,9,FALSE),"")</f>
        <v>0</v>
      </c>
      <c r="J8" s="2">
        <f>IFERROR(VLOOKUP(A8,'Approved individual amount data'!$A$1:$S$135,10,FALSE),"")</f>
        <v>0</v>
      </c>
      <c r="K8" s="2">
        <f>IFERROR(VLOOKUP(A8,'Approved individual amount data'!$A$1:$S$135,11,FALSE),"")</f>
        <v>0</v>
      </c>
      <c r="L8" s="2">
        <f>IFERROR(VLOOKUP(A8,'Approved individual amount data'!$A$1:$S$135,12,FALSE),"")</f>
        <v>0</v>
      </c>
      <c r="M8" s="2">
        <f>IFERROR(VLOOKUP(A8,'Approved individual amount data'!$A$1:$S$135,13,FALSE),"")</f>
        <v>0</v>
      </c>
      <c r="N8" s="2">
        <f>IFERROR(VLOOKUP(A8,'Approved individual amount data'!$A$1:$S$135,14,FALSE),"")</f>
        <v>0</v>
      </c>
      <c r="O8" s="2">
        <f>IFERROR(VLOOKUP(A8,'Approved individual amount data'!$A$1:$S$135,15,FALSE),"")</f>
        <v>0</v>
      </c>
      <c r="P8" s="2">
        <f>IFERROR(VLOOKUP(A8,'Approved individual amount data'!$A$1:$S$135,16,FALSE),"")</f>
        <v>0</v>
      </c>
      <c r="Q8" s="2">
        <f>IFERROR(VLOOKUP(A8,'Approved individual amount data'!$A$1:$S$135,17,FALSE),"")</f>
        <v>0</v>
      </c>
      <c r="R8" s="2">
        <f>IFERROR(VLOOKUP(A8,'Approved individual amount data'!$A$1:$S$135,18,FALSE),"")</f>
        <v>0</v>
      </c>
      <c r="S8" s="2">
        <f>IFERROR(VLOOKUP(A8,'Approved individual amount data'!$A$1:$S$135,19,FALSE),"")</f>
        <v>0</v>
      </c>
    </row>
    <row r="9" spans="1:19" x14ac:dyDescent="0.25">
      <c r="A9" t="str">
        <f>'Local multi year dist'!S9</f>
        <v>Amherst County</v>
      </c>
      <c r="B9" s="2">
        <f>IFERROR(VLOOKUP(A9,'Approved individual amount data'!$A$1:$S$135,2,FALSE),"")</f>
        <v>0</v>
      </c>
      <c r="C9" s="2">
        <f>IFERROR(VLOOKUP(A9,'Approved individual amount data'!$A$1:$S$135,3,FALSE),"")</f>
        <v>0</v>
      </c>
      <c r="D9" s="2">
        <f>IFERROR(VLOOKUP(A9,'Approved individual amount data'!$A$1:$S$135,4,FALSE),"")</f>
        <v>0</v>
      </c>
      <c r="E9" s="2">
        <f>IFERROR(VLOOKUP(A9,'Approved individual amount data'!$A$1:$S$135,5,FALSE),"")</f>
        <v>0</v>
      </c>
      <c r="F9" s="2">
        <f>IFERROR(VLOOKUP(A9,'Approved individual amount data'!$A$1:$S$135,6,FALSE),"")</f>
        <v>0</v>
      </c>
      <c r="G9" s="2">
        <f>IFERROR(VLOOKUP(A9,'Approved individual amount data'!$A$1:$S$135,7,FALSE),"")</f>
        <v>0</v>
      </c>
      <c r="H9" s="2">
        <f>IFERROR(VLOOKUP(A9,'Approved individual amount data'!$A$1:$S$135,8,FALSE),"")</f>
        <v>0</v>
      </c>
      <c r="I9" s="2">
        <f>IFERROR(VLOOKUP(A9,'Approved individual amount data'!$A$1:$S$135,9,FALSE),"")</f>
        <v>0</v>
      </c>
      <c r="J9" s="2">
        <f>IFERROR(VLOOKUP(A9,'Approved individual amount data'!$A$1:$S$135,10,FALSE),"")</f>
        <v>0</v>
      </c>
      <c r="K9" s="2">
        <f>IFERROR(VLOOKUP(A9,'Approved individual amount data'!$A$1:$S$135,11,FALSE),"")</f>
        <v>0</v>
      </c>
      <c r="L9" s="2">
        <f>IFERROR(VLOOKUP(A9,'Approved individual amount data'!$A$1:$S$135,12,FALSE),"")</f>
        <v>0</v>
      </c>
      <c r="M9" s="2">
        <f>IFERROR(VLOOKUP(A9,'Approved individual amount data'!$A$1:$S$135,13,FALSE),"")</f>
        <v>0</v>
      </c>
      <c r="N9" s="2">
        <f>IFERROR(VLOOKUP(A9,'Approved individual amount data'!$A$1:$S$135,14,FALSE),"")</f>
        <v>0</v>
      </c>
      <c r="O9" s="2">
        <f>IFERROR(VLOOKUP(A9,'Approved individual amount data'!$A$1:$S$135,15,FALSE),"")</f>
        <v>0</v>
      </c>
      <c r="P9" s="2">
        <f>IFERROR(VLOOKUP(A9,'Approved individual amount data'!$A$1:$S$135,16,FALSE),"")</f>
        <v>0</v>
      </c>
      <c r="Q9" s="2">
        <f>IFERROR(VLOOKUP(A9,'Approved individual amount data'!$A$1:$S$135,17,FALSE),"")</f>
        <v>0</v>
      </c>
      <c r="R9" s="2">
        <f>IFERROR(VLOOKUP(A9,'Approved individual amount data'!$A$1:$S$135,18,FALSE),"")</f>
        <v>0</v>
      </c>
      <c r="S9" s="2">
        <f>IFERROR(VLOOKUP(A9,'Approved individual amount data'!$A$1:$S$135,19,FALSE),"")</f>
        <v>0</v>
      </c>
    </row>
    <row r="10" spans="1:19" x14ac:dyDescent="0.25">
      <c r="A10" t="str">
        <f>'Local multi year dist'!S10</f>
        <v>Appomattox County</v>
      </c>
      <c r="B10" s="2">
        <f>IFERROR(VLOOKUP(A10,'Approved individual amount data'!$A$1:$S$135,2,FALSE),"")</f>
        <v>0</v>
      </c>
      <c r="C10" s="2">
        <f>IFERROR(VLOOKUP(A10,'Approved individual amount data'!$A$1:$S$135,3,FALSE),"")</f>
        <v>0</v>
      </c>
      <c r="D10" s="2">
        <f>IFERROR(VLOOKUP(A10,'Approved individual amount data'!$A$1:$S$135,4,FALSE),"")</f>
        <v>0</v>
      </c>
      <c r="E10" s="2">
        <f>IFERROR(VLOOKUP(A10,'Approved individual amount data'!$A$1:$S$135,5,FALSE),"")</f>
        <v>0</v>
      </c>
      <c r="F10" s="2">
        <f>IFERROR(VLOOKUP(A10,'Approved individual amount data'!$A$1:$S$135,6,FALSE),"")</f>
        <v>0</v>
      </c>
      <c r="G10" s="2">
        <f>IFERROR(VLOOKUP(A10,'Approved individual amount data'!$A$1:$S$135,7,FALSE),"")</f>
        <v>0</v>
      </c>
      <c r="H10" s="2">
        <f>IFERROR(VLOOKUP(A10,'Approved individual amount data'!$A$1:$S$135,8,FALSE),"")</f>
        <v>0</v>
      </c>
      <c r="I10" s="2">
        <f>IFERROR(VLOOKUP(A10,'Approved individual amount data'!$A$1:$S$135,9,FALSE),"")</f>
        <v>0</v>
      </c>
      <c r="J10" s="2">
        <f>IFERROR(VLOOKUP(A10,'Approved individual amount data'!$A$1:$S$135,10,FALSE),"")</f>
        <v>0</v>
      </c>
      <c r="K10" s="2">
        <f>IFERROR(VLOOKUP(A10,'Approved individual amount data'!$A$1:$S$135,11,FALSE),"")</f>
        <v>0</v>
      </c>
      <c r="L10" s="2">
        <f>IFERROR(VLOOKUP(A10,'Approved individual amount data'!$A$1:$S$135,12,FALSE),"")</f>
        <v>0</v>
      </c>
      <c r="M10" s="2">
        <f>IFERROR(VLOOKUP(A10,'Approved individual amount data'!$A$1:$S$135,13,FALSE),"")</f>
        <v>0</v>
      </c>
      <c r="N10" s="2">
        <f>IFERROR(VLOOKUP(A10,'Approved individual amount data'!$A$1:$S$135,14,FALSE),"")</f>
        <v>0</v>
      </c>
      <c r="O10" s="2">
        <f>IFERROR(VLOOKUP(A10,'Approved individual amount data'!$A$1:$S$135,15,FALSE),"")</f>
        <v>0</v>
      </c>
      <c r="P10" s="2">
        <f>IFERROR(VLOOKUP(A10,'Approved individual amount data'!$A$1:$S$135,16,FALSE),"")</f>
        <v>0</v>
      </c>
      <c r="Q10" s="2">
        <f>IFERROR(VLOOKUP(A10,'Approved individual amount data'!$A$1:$S$135,17,FALSE),"")</f>
        <v>0</v>
      </c>
      <c r="R10" s="2">
        <f>IFERROR(VLOOKUP(A10,'Approved individual amount data'!$A$1:$S$135,18,FALSE),"")</f>
        <v>0</v>
      </c>
      <c r="S10" s="2">
        <f>IFERROR(VLOOKUP(A10,'Approved individual amount data'!$A$1:$S$135,19,FALSE),"")</f>
        <v>0</v>
      </c>
    </row>
    <row r="11" spans="1:19" x14ac:dyDescent="0.25">
      <c r="A11" t="str">
        <f>'Local multi year dist'!S11</f>
        <v>Arlington County</v>
      </c>
      <c r="B11" s="2">
        <f>IFERROR(VLOOKUP(A11,'Approved individual amount data'!$A$1:$S$135,2,FALSE),"")</f>
        <v>0</v>
      </c>
      <c r="C11" s="2">
        <f>IFERROR(VLOOKUP(A11,'Approved individual amount data'!$A$1:$S$135,3,FALSE),"")</f>
        <v>0</v>
      </c>
      <c r="D11" s="2">
        <f>IFERROR(VLOOKUP(A11,'Approved individual amount data'!$A$1:$S$135,4,FALSE),"")</f>
        <v>149952</v>
      </c>
      <c r="E11" s="2">
        <f>IFERROR(VLOOKUP(A11,'Approved individual amount data'!$A$1:$S$135,5,FALSE),"")</f>
        <v>122633</v>
      </c>
      <c r="F11" s="2">
        <f>IFERROR(VLOOKUP(A11,'Approved individual amount data'!$A$1:$S$135,6,FALSE),"")</f>
        <v>0</v>
      </c>
      <c r="G11" s="2">
        <f>IFERROR(VLOOKUP(A11,'Approved individual amount data'!$A$1:$S$135,7,FALSE),"")</f>
        <v>0</v>
      </c>
      <c r="H11" s="2">
        <f>IFERROR(VLOOKUP(A11,'Approved individual amount data'!$A$1:$S$135,8,FALSE),"")</f>
        <v>0</v>
      </c>
      <c r="I11" s="2">
        <f>IFERROR(VLOOKUP(A11,'Approved individual amount data'!$A$1:$S$135,9,FALSE),"")</f>
        <v>0</v>
      </c>
      <c r="J11" s="2">
        <f>IFERROR(VLOOKUP(A11,'Approved individual amount data'!$A$1:$S$135,10,FALSE),"")</f>
        <v>0</v>
      </c>
      <c r="K11" s="2">
        <f>IFERROR(VLOOKUP(A11,'Approved individual amount data'!$A$1:$S$135,11,FALSE),"")</f>
        <v>0</v>
      </c>
      <c r="L11" s="2">
        <f>IFERROR(VLOOKUP(A11,'Approved individual amount data'!$A$1:$S$135,12,FALSE),"")</f>
        <v>0</v>
      </c>
      <c r="M11" s="2">
        <f>IFERROR(VLOOKUP(A11,'Approved individual amount data'!$A$1:$S$135,13,FALSE),"")</f>
        <v>0</v>
      </c>
      <c r="N11" s="2">
        <f>IFERROR(VLOOKUP(A11,'Approved individual amount data'!$A$1:$S$135,14,FALSE),"")</f>
        <v>0</v>
      </c>
      <c r="O11" s="2">
        <f>IFERROR(VLOOKUP(A11,'Approved individual amount data'!$A$1:$S$135,15,FALSE),"")</f>
        <v>0</v>
      </c>
      <c r="P11" s="2">
        <f>IFERROR(VLOOKUP(A11,'Approved individual amount data'!$A$1:$S$135,16,FALSE),"")</f>
        <v>0</v>
      </c>
      <c r="Q11" s="2">
        <f>IFERROR(VLOOKUP(A11,'Approved individual amount data'!$A$1:$S$135,17,FALSE),"")</f>
        <v>0</v>
      </c>
      <c r="R11" s="2">
        <f>IFERROR(VLOOKUP(A11,'Approved individual amount data'!$A$1:$S$135,18,FALSE),"")</f>
        <v>0</v>
      </c>
      <c r="S11" s="2">
        <f>IFERROR(VLOOKUP(A11,'Approved individual amount data'!$A$1:$S$135,19,FALSE),"")</f>
        <v>0</v>
      </c>
    </row>
    <row r="12" spans="1:19" x14ac:dyDescent="0.25">
      <c r="A12" t="str">
        <f>'Local multi year dist'!S12</f>
        <v>Augusta County</v>
      </c>
      <c r="B12" s="2">
        <f>IFERROR(VLOOKUP(A12,'Approved individual amount data'!$A$1:$S$135,2,FALSE),"")</f>
        <v>0</v>
      </c>
      <c r="C12" s="2">
        <f>IFERROR(VLOOKUP(A12,'Approved individual amount data'!$A$1:$S$135,3,FALSE),"")</f>
        <v>0</v>
      </c>
      <c r="D12" s="2">
        <f>IFERROR(VLOOKUP(A12,'Approved individual amount data'!$A$1:$S$135,4,FALSE),"")</f>
        <v>0</v>
      </c>
      <c r="E12" s="2">
        <f>IFERROR(VLOOKUP(A12,'Approved individual amount data'!$A$1:$S$135,5,FALSE),"")</f>
        <v>0</v>
      </c>
      <c r="F12" s="2">
        <f>IFERROR(VLOOKUP(A12,'Approved individual amount data'!$A$1:$S$135,6,FALSE),"")</f>
        <v>0</v>
      </c>
      <c r="G12" s="2">
        <f>IFERROR(VLOOKUP(A12,'Approved individual amount data'!$A$1:$S$135,7,FALSE),"")</f>
        <v>0</v>
      </c>
      <c r="H12" s="2">
        <f>IFERROR(VLOOKUP(A12,'Approved individual amount data'!$A$1:$S$135,8,FALSE),"")</f>
        <v>0</v>
      </c>
      <c r="I12" s="2">
        <f>IFERROR(VLOOKUP(A12,'Approved individual amount data'!$A$1:$S$135,9,FALSE),"")</f>
        <v>0</v>
      </c>
      <c r="J12" s="2">
        <f>IFERROR(VLOOKUP(A12,'Approved individual amount data'!$A$1:$S$135,10,FALSE),"")</f>
        <v>0</v>
      </c>
      <c r="K12" s="2">
        <f>IFERROR(VLOOKUP(A12,'Approved individual amount data'!$A$1:$S$135,11,FALSE),"")</f>
        <v>0</v>
      </c>
      <c r="L12" s="2">
        <f>IFERROR(VLOOKUP(A12,'Approved individual amount data'!$A$1:$S$135,12,FALSE),"")</f>
        <v>0</v>
      </c>
      <c r="M12" s="2">
        <f>IFERROR(VLOOKUP(A12,'Approved individual amount data'!$A$1:$S$135,13,FALSE),"")</f>
        <v>0</v>
      </c>
      <c r="N12" s="2">
        <f>IFERROR(VLOOKUP(A12,'Approved individual amount data'!$A$1:$S$135,14,FALSE),"")</f>
        <v>0</v>
      </c>
      <c r="O12" s="2">
        <f>IFERROR(VLOOKUP(A12,'Approved individual amount data'!$A$1:$S$135,15,FALSE),"")</f>
        <v>0</v>
      </c>
      <c r="P12" s="2">
        <f>IFERROR(VLOOKUP(A12,'Approved individual amount data'!$A$1:$S$135,16,FALSE),"")</f>
        <v>0</v>
      </c>
      <c r="Q12" s="2">
        <f>IFERROR(VLOOKUP(A12,'Approved individual amount data'!$A$1:$S$135,17,FALSE),"")</f>
        <v>0</v>
      </c>
      <c r="R12" s="2">
        <f>IFERROR(VLOOKUP(A12,'Approved individual amount data'!$A$1:$S$135,18,FALSE),"")</f>
        <v>0</v>
      </c>
      <c r="S12" s="2">
        <f>IFERROR(VLOOKUP(A12,'Approved individual amount data'!$A$1:$S$135,19,FALSE),"")</f>
        <v>0</v>
      </c>
    </row>
    <row r="13" spans="1:19" x14ac:dyDescent="0.25">
      <c r="A13" t="str">
        <f>'Local multi year dist'!S13</f>
        <v>Bath County</v>
      </c>
      <c r="B13" s="2">
        <f>IFERROR(VLOOKUP(A13,'Approved individual amount data'!$A$1:$S$135,2,FALSE),"")</f>
        <v>0</v>
      </c>
      <c r="C13" s="2">
        <f>IFERROR(VLOOKUP(A13,'Approved individual amount data'!$A$1:$S$135,3,FALSE),"")</f>
        <v>0</v>
      </c>
      <c r="D13" s="2">
        <f>IFERROR(VLOOKUP(A13,'Approved individual amount data'!$A$1:$S$135,4,FALSE),"")</f>
        <v>0</v>
      </c>
      <c r="E13" s="2">
        <f>IFERROR(VLOOKUP(A13,'Approved individual amount data'!$A$1:$S$135,5,FALSE),"")</f>
        <v>0</v>
      </c>
      <c r="F13" s="2">
        <f>IFERROR(VLOOKUP(A13,'Approved individual amount data'!$A$1:$S$135,6,FALSE),"")</f>
        <v>0</v>
      </c>
      <c r="G13" s="2">
        <f>IFERROR(VLOOKUP(A13,'Approved individual amount data'!$A$1:$S$135,7,FALSE),"")</f>
        <v>0</v>
      </c>
      <c r="H13" s="2">
        <f>IFERROR(VLOOKUP(A13,'Approved individual amount data'!$A$1:$S$135,8,FALSE),"")</f>
        <v>0</v>
      </c>
      <c r="I13" s="2">
        <f>IFERROR(VLOOKUP(A13,'Approved individual amount data'!$A$1:$S$135,9,FALSE),"")</f>
        <v>0</v>
      </c>
      <c r="J13" s="2">
        <f>IFERROR(VLOOKUP(A13,'Approved individual amount data'!$A$1:$S$135,10,FALSE),"")</f>
        <v>0</v>
      </c>
      <c r="K13" s="2">
        <f>IFERROR(VLOOKUP(A13,'Approved individual amount data'!$A$1:$S$135,11,FALSE),"")</f>
        <v>0</v>
      </c>
      <c r="L13" s="2">
        <f>IFERROR(VLOOKUP(A13,'Approved individual amount data'!$A$1:$S$135,12,FALSE),"")</f>
        <v>0</v>
      </c>
      <c r="M13" s="2">
        <f>IFERROR(VLOOKUP(A13,'Approved individual amount data'!$A$1:$S$135,13,FALSE),"")</f>
        <v>0</v>
      </c>
      <c r="N13" s="2">
        <f>IFERROR(VLOOKUP(A13,'Approved individual amount data'!$A$1:$S$135,14,FALSE),"")</f>
        <v>0</v>
      </c>
      <c r="O13" s="2">
        <f>IFERROR(VLOOKUP(A13,'Approved individual amount data'!$A$1:$S$135,15,FALSE),"")</f>
        <v>0</v>
      </c>
      <c r="P13" s="2">
        <f>IFERROR(VLOOKUP(A13,'Approved individual amount data'!$A$1:$S$135,16,FALSE),"")</f>
        <v>0</v>
      </c>
      <c r="Q13" s="2">
        <f>IFERROR(VLOOKUP(A13,'Approved individual amount data'!$A$1:$S$135,17,FALSE),"")</f>
        <v>0</v>
      </c>
      <c r="R13" s="2">
        <f>IFERROR(VLOOKUP(A13,'Approved individual amount data'!$A$1:$S$135,18,FALSE),"")</f>
        <v>0</v>
      </c>
      <c r="S13" s="2">
        <f>IFERROR(VLOOKUP(A13,'Approved individual amount data'!$A$1:$S$135,19,FALSE),"")</f>
        <v>0</v>
      </c>
    </row>
    <row r="14" spans="1:19" x14ac:dyDescent="0.25">
      <c r="A14" t="str">
        <f>'Local multi year dist'!S14</f>
        <v>Bedford County</v>
      </c>
      <c r="B14" s="2">
        <f>IFERROR(VLOOKUP(A14,'Approved individual amount data'!$A$1:$S$135,2,FALSE),"")</f>
        <v>0</v>
      </c>
      <c r="C14" s="2">
        <f>IFERROR(VLOOKUP(A14,'Approved individual amount data'!$A$1:$S$135,3,FALSE),"")</f>
        <v>0</v>
      </c>
      <c r="D14" s="2">
        <f>IFERROR(VLOOKUP(A14,'Approved individual amount data'!$A$1:$S$135,4,FALSE),"")</f>
        <v>0</v>
      </c>
      <c r="E14" s="2">
        <f>IFERROR(VLOOKUP(A14,'Approved individual amount data'!$A$1:$S$135,5,FALSE),"")</f>
        <v>45000</v>
      </c>
      <c r="F14" s="2">
        <f>IFERROR(VLOOKUP(A14,'Approved individual amount data'!$A$1:$S$135,6,FALSE),"")</f>
        <v>0</v>
      </c>
      <c r="G14" s="2">
        <f>IFERROR(VLOOKUP(A14,'Approved individual amount data'!$A$1:$S$135,7,FALSE),"")</f>
        <v>0</v>
      </c>
      <c r="H14" s="2">
        <f>IFERROR(VLOOKUP(A14,'Approved individual amount data'!$A$1:$S$135,8,FALSE),"")</f>
        <v>0</v>
      </c>
      <c r="I14" s="2">
        <f>IFERROR(VLOOKUP(A14,'Approved individual amount data'!$A$1:$S$135,9,FALSE),"")</f>
        <v>0</v>
      </c>
      <c r="J14" s="2">
        <f>IFERROR(VLOOKUP(A14,'Approved individual amount data'!$A$1:$S$135,10,FALSE),"")</f>
        <v>0</v>
      </c>
      <c r="K14" s="2">
        <f>IFERROR(VLOOKUP(A14,'Approved individual amount data'!$A$1:$S$135,11,FALSE),"")</f>
        <v>0</v>
      </c>
      <c r="L14" s="2">
        <f>IFERROR(VLOOKUP(A14,'Approved individual amount data'!$A$1:$S$135,12,FALSE),"")</f>
        <v>0</v>
      </c>
      <c r="M14" s="2">
        <f>IFERROR(VLOOKUP(A14,'Approved individual amount data'!$A$1:$S$135,13,FALSE),"")</f>
        <v>0</v>
      </c>
      <c r="N14" s="2">
        <f>IFERROR(VLOOKUP(A14,'Approved individual amount data'!$A$1:$S$135,14,FALSE),"")</f>
        <v>0</v>
      </c>
      <c r="O14" s="2">
        <f>IFERROR(VLOOKUP(A14,'Approved individual amount data'!$A$1:$S$135,15,FALSE),"")</f>
        <v>0</v>
      </c>
      <c r="P14" s="2">
        <f>IFERROR(VLOOKUP(A14,'Approved individual amount data'!$A$1:$S$135,16,FALSE),"")</f>
        <v>0</v>
      </c>
      <c r="Q14" s="2">
        <f>IFERROR(VLOOKUP(A14,'Approved individual amount data'!$A$1:$S$135,17,FALSE),"")</f>
        <v>0</v>
      </c>
      <c r="R14" s="2">
        <f>IFERROR(VLOOKUP(A14,'Approved individual amount data'!$A$1:$S$135,18,FALSE),"")</f>
        <v>0</v>
      </c>
      <c r="S14" s="2">
        <f>IFERROR(VLOOKUP(A14,'Approved individual amount data'!$A$1:$S$135,19,FALSE),"")</f>
        <v>0</v>
      </c>
    </row>
    <row r="15" spans="1:19" x14ac:dyDescent="0.25">
      <c r="A15" t="str">
        <f>'Local multi year dist'!S15</f>
        <v>Bland County</v>
      </c>
      <c r="B15" s="2">
        <f>IFERROR(VLOOKUP(A15,'Approved individual amount data'!$A$1:$S$135,2,FALSE),"")</f>
        <v>0</v>
      </c>
      <c r="C15" s="2">
        <f>IFERROR(VLOOKUP(A15,'Approved individual amount data'!$A$1:$S$135,3,FALSE),"")</f>
        <v>0</v>
      </c>
      <c r="D15" s="2">
        <f>IFERROR(VLOOKUP(A15,'Approved individual amount data'!$A$1:$S$135,4,FALSE),"")</f>
        <v>0</v>
      </c>
      <c r="E15" s="2">
        <f>IFERROR(VLOOKUP(A15,'Approved individual amount data'!$A$1:$S$135,5,FALSE),"")</f>
        <v>0</v>
      </c>
      <c r="F15" s="2">
        <f>IFERROR(VLOOKUP(A15,'Approved individual amount data'!$A$1:$S$135,6,FALSE),"")</f>
        <v>0</v>
      </c>
      <c r="G15" s="2">
        <f>IFERROR(VLOOKUP(A15,'Approved individual amount data'!$A$1:$S$135,7,FALSE),"")</f>
        <v>0</v>
      </c>
      <c r="H15" s="2">
        <f>IFERROR(VLOOKUP(A15,'Approved individual amount data'!$A$1:$S$135,8,FALSE),"")</f>
        <v>0</v>
      </c>
      <c r="I15" s="2">
        <f>IFERROR(VLOOKUP(A15,'Approved individual amount data'!$A$1:$S$135,9,FALSE),"")</f>
        <v>0</v>
      </c>
      <c r="J15" s="2">
        <f>IFERROR(VLOOKUP(A15,'Approved individual amount data'!$A$1:$S$135,10,FALSE),"")</f>
        <v>0</v>
      </c>
      <c r="K15" s="2">
        <f>IFERROR(VLOOKUP(A15,'Approved individual amount data'!$A$1:$S$135,11,FALSE),"")</f>
        <v>0</v>
      </c>
      <c r="L15" s="2">
        <f>IFERROR(VLOOKUP(A15,'Approved individual amount data'!$A$1:$S$135,12,FALSE),"")</f>
        <v>0</v>
      </c>
      <c r="M15" s="2">
        <f>IFERROR(VLOOKUP(A15,'Approved individual amount data'!$A$1:$S$135,13,FALSE),"")</f>
        <v>0</v>
      </c>
      <c r="N15" s="2">
        <f>IFERROR(VLOOKUP(A15,'Approved individual amount data'!$A$1:$S$135,14,FALSE),"")</f>
        <v>0</v>
      </c>
      <c r="O15" s="2">
        <f>IFERROR(VLOOKUP(A15,'Approved individual amount data'!$A$1:$S$135,15,FALSE),"")</f>
        <v>0</v>
      </c>
      <c r="P15" s="2">
        <f>IFERROR(VLOOKUP(A15,'Approved individual amount data'!$A$1:$S$135,16,FALSE),"")</f>
        <v>0</v>
      </c>
      <c r="Q15" s="2">
        <f>IFERROR(VLOOKUP(A15,'Approved individual amount data'!$A$1:$S$135,17,FALSE),"")</f>
        <v>0</v>
      </c>
      <c r="R15" s="2">
        <f>IFERROR(VLOOKUP(A15,'Approved individual amount data'!$A$1:$S$135,18,FALSE),"")</f>
        <v>0</v>
      </c>
      <c r="S15" s="2">
        <f>IFERROR(VLOOKUP(A15,'Approved individual amount data'!$A$1:$S$135,19,FALSE),"")</f>
        <v>0</v>
      </c>
    </row>
    <row r="16" spans="1:19" x14ac:dyDescent="0.25">
      <c r="A16" t="str">
        <f>'Local multi year dist'!S16</f>
        <v>Botetourt County</v>
      </c>
      <c r="B16" s="2">
        <f>IFERROR(VLOOKUP(A16,'Approved individual amount data'!$A$1:$S$135,2,FALSE),"")</f>
        <v>0</v>
      </c>
      <c r="C16" s="2">
        <f>IFERROR(VLOOKUP(A16,'Approved individual amount data'!$A$1:$S$135,3,FALSE),"")</f>
        <v>0</v>
      </c>
      <c r="D16" s="2">
        <f>IFERROR(VLOOKUP(A16,'Approved individual amount data'!$A$1:$S$135,4,FALSE),"")</f>
        <v>0</v>
      </c>
      <c r="E16" s="2">
        <f>IFERROR(VLOOKUP(A16,'Approved individual amount data'!$A$1:$S$135,5,FALSE),"")</f>
        <v>0</v>
      </c>
      <c r="F16" s="2">
        <f>IFERROR(VLOOKUP(A16,'Approved individual amount data'!$A$1:$S$135,6,FALSE),"")</f>
        <v>0</v>
      </c>
      <c r="G16" s="2">
        <f>IFERROR(VLOOKUP(A16,'Approved individual amount data'!$A$1:$S$135,7,FALSE),"")</f>
        <v>0</v>
      </c>
      <c r="H16" s="2">
        <f>IFERROR(VLOOKUP(A16,'Approved individual amount data'!$A$1:$S$135,8,FALSE),"")</f>
        <v>0</v>
      </c>
      <c r="I16" s="2">
        <f>IFERROR(VLOOKUP(A16,'Approved individual amount data'!$A$1:$S$135,9,FALSE),"")</f>
        <v>0</v>
      </c>
      <c r="J16" s="2">
        <f>IFERROR(VLOOKUP(A16,'Approved individual amount data'!$A$1:$S$135,10,FALSE),"")</f>
        <v>0</v>
      </c>
      <c r="K16" s="2">
        <f>IFERROR(VLOOKUP(A16,'Approved individual amount data'!$A$1:$S$135,11,FALSE),"")</f>
        <v>0</v>
      </c>
      <c r="L16" s="2">
        <f>IFERROR(VLOOKUP(A16,'Approved individual amount data'!$A$1:$S$135,12,FALSE),"")</f>
        <v>0</v>
      </c>
      <c r="M16" s="2">
        <f>IFERROR(VLOOKUP(A16,'Approved individual amount data'!$A$1:$S$135,13,FALSE),"")</f>
        <v>0</v>
      </c>
      <c r="N16" s="2">
        <f>IFERROR(VLOOKUP(A16,'Approved individual amount data'!$A$1:$S$135,14,FALSE),"")</f>
        <v>0</v>
      </c>
      <c r="O16" s="2">
        <f>IFERROR(VLOOKUP(A16,'Approved individual amount data'!$A$1:$S$135,15,FALSE),"")</f>
        <v>0</v>
      </c>
      <c r="P16" s="2">
        <f>IFERROR(VLOOKUP(A16,'Approved individual amount data'!$A$1:$S$135,16,FALSE),"")</f>
        <v>0</v>
      </c>
      <c r="Q16" s="2">
        <f>IFERROR(VLOOKUP(A16,'Approved individual amount data'!$A$1:$S$135,17,FALSE),"")</f>
        <v>0</v>
      </c>
      <c r="R16" s="2">
        <f>IFERROR(VLOOKUP(A16,'Approved individual amount data'!$A$1:$S$135,18,FALSE),"")</f>
        <v>0</v>
      </c>
      <c r="S16" s="2">
        <f>IFERROR(VLOOKUP(A16,'Approved individual amount data'!$A$1:$S$135,19,FALSE),"")</f>
        <v>0</v>
      </c>
    </row>
    <row r="17" spans="1:19" x14ac:dyDescent="0.25">
      <c r="A17" t="str">
        <f>'Local multi year dist'!S17</f>
        <v>Bristol City</v>
      </c>
      <c r="B17" s="2">
        <f>IFERROR(VLOOKUP(A17,'Approved individual amount data'!$A$1:$S$135,2,FALSE),"")</f>
        <v>0</v>
      </c>
      <c r="C17" s="2">
        <f>IFERROR(VLOOKUP(A17,'Approved individual amount data'!$A$1:$S$135,3,FALSE),"")</f>
        <v>0</v>
      </c>
      <c r="D17" s="2">
        <f>IFERROR(VLOOKUP(A17,'Approved individual amount data'!$A$1:$S$135,4,FALSE),"")</f>
        <v>0</v>
      </c>
      <c r="E17" s="2">
        <f>IFERROR(VLOOKUP(A17,'Approved individual amount data'!$A$1:$S$135,5,FALSE),"")</f>
        <v>0</v>
      </c>
      <c r="F17" s="2">
        <f>IFERROR(VLOOKUP(A17,'Approved individual amount data'!$A$1:$S$135,6,FALSE),"")</f>
        <v>0</v>
      </c>
      <c r="G17" s="2">
        <f>IFERROR(VLOOKUP(A17,'Approved individual amount data'!$A$1:$S$135,7,FALSE),"")</f>
        <v>0</v>
      </c>
      <c r="H17" s="2">
        <f>IFERROR(VLOOKUP(A17,'Approved individual amount data'!$A$1:$S$135,8,FALSE),"")</f>
        <v>0</v>
      </c>
      <c r="I17" s="2">
        <f>IFERROR(VLOOKUP(A17,'Approved individual amount data'!$A$1:$S$135,9,FALSE),"")</f>
        <v>0</v>
      </c>
      <c r="J17" s="2">
        <f>IFERROR(VLOOKUP(A17,'Approved individual amount data'!$A$1:$S$135,10,FALSE),"")</f>
        <v>0</v>
      </c>
      <c r="K17" s="2">
        <f>IFERROR(VLOOKUP(A17,'Approved individual amount data'!$A$1:$S$135,11,FALSE),"")</f>
        <v>0</v>
      </c>
      <c r="L17" s="2">
        <f>IFERROR(VLOOKUP(A17,'Approved individual amount data'!$A$1:$S$135,12,FALSE),"")</f>
        <v>0</v>
      </c>
      <c r="M17" s="2">
        <f>IFERROR(VLOOKUP(A17,'Approved individual amount data'!$A$1:$S$135,13,FALSE),"")</f>
        <v>0</v>
      </c>
      <c r="N17" s="2">
        <f>IFERROR(VLOOKUP(A17,'Approved individual amount data'!$A$1:$S$135,14,FALSE),"")</f>
        <v>0</v>
      </c>
      <c r="O17" s="2">
        <f>IFERROR(VLOOKUP(A17,'Approved individual amount data'!$A$1:$S$135,15,FALSE),"")</f>
        <v>0</v>
      </c>
      <c r="P17" s="2">
        <f>IFERROR(VLOOKUP(A17,'Approved individual amount data'!$A$1:$S$135,16,FALSE),"")</f>
        <v>0</v>
      </c>
      <c r="Q17" s="2">
        <f>IFERROR(VLOOKUP(A17,'Approved individual amount data'!$A$1:$S$135,17,FALSE),"")</f>
        <v>0</v>
      </c>
      <c r="R17" s="2">
        <f>IFERROR(VLOOKUP(A17,'Approved individual amount data'!$A$1:$S$135,18,FALSE),"")</f>
        <v>0</v>
      </c>
      <c r="S17" s="2">
        <f>IFERROR(VLOOKUP(A17,'Approved individual amount data'!$A$1:$S$135,19,FALSE),"")</f>
        <v>0</v>
      </c>
    </row>
    <row r="18" spans="1:19" x14ac:dyDescent="0.25">
      <c r="A18" t="str">
        <f>'Local multi year dist'!S18</f>
        <v>Brunswick County</v>
      </c>
      <c r="B18" s="2">
        <f>IFERROR(VLOOKUP(A18,'Approved individual amount data'!$A$1:$S$135,2,FALSE),"")</f>
        <v>0</v>
      </c>
      <c r="C18" s="2">
        <f>IFERROR(VLOOKUP(A18,'Approved individual amount data'!$A$1:$S$135,3,FALSE),"")</f>
        <v>0</v>
      </c>
      <c r="D18" s="2">
        <f>IFERROR(VLOOKUP(A18,'Approved individual amount data'!$A$1:$S$135,4,FALSE),"")</f>
        <v>0</v>
      </c>
      <c r="E18" s="2">
        <f>IFERROR(VLOOKUP(A18,'Approved individual amount data'!$A$1:$S$135,5,FALSE),"")</f>
        <v>0</v>
      </c>
      <c r="F18" s="2">
        <f>IFERROR(VLOOKUP(A18,'Approved individual amount data'!$A$1:$S$135,6,FALSE),"")</f>
        <v>0</v>
      </c>
      <c r="G18" s="2">
        <f>IFERROR(VLOOKUP(A18,'Approved individual amount data'!$A$1:$S$135,7,FALSE),"")</f>
        <v>0</v>
      </c>
      <c r="H18" s="2">
        <f>IFERROR(VLOOKUP(A18,'Approved individual amount data'!$A$1:$S$135,8,FALSE),"")</f>
        <v>0</v>
      </c>
      <c r="I18" s="2">
        <f>IFERROR(VLOOKUP(A18,'Approved individual amount data'!$A$1:$S$135,9,FALSE),"")</f>
        <v>0</v>
      </c>
      <c r="J18" s="2">
        <f>IFERROR(VLOOKUP(A18,'Approved individual amount data'!$A$1:$S$135,10,FALSE),"")</f>
        <v>0</v>
      </c>
      <c r="K18" s="2">
        <f>IFERROR(VLOOKUP(A18,'Approved individual amount data'!$A$1:$S$135,11,FALSE),"")</f>
        <v>0</v>
      </c>
      <c r="L18" s="2">
        <f>IFERROR(VLOOKUP(A18,'Approved individual amount data'!$A$1:$S$135,12,FALSE),"")</f>
        <v>0</v>
      </c>
      <c r="M18" s="2">
        <f>IFERROR(VLOOKUP(A18,'Approved individual amount data'!$A$1:$S$135,13,FALSE),"")</f>
        <v>0</v>
      </c>
      <c r="N18" s="2">
        <f>IFERROR(VLOOKUP(A18,'Approved individual amount data'!$A$1:$S$135,14,FALSE),"")</f>
        <v>0</v>
      </c>
      <c r="O18" s="2">
        <f>IFERROR(VLOOKUP(A18,'Approved individual amount data'!$A$1:$S$135,15,FALSE),"")</f>
        <v>0</v>
      </c>
      <c r="P18" s="2">
        <f>IFERROR(VLOOKUP(A18,'Approved individual amount data'!$A$1:$S$135,16,FALSE),"")</f>
        <v>0</v>
      </c>
      <c r="Q18" s="2">
        <f>IFERROR(VLOOKUP(A18,'Approved individual amount data'!$A$1:$S$135,17,FALSE),"")</f>
        <v>0</v>
      </c>
      <c r="R18" s="2">
        <f>IFERROR(VLOOKUP(A18,'Approved individual amount data'!$A$1:$S$135,18,FALSE),"")</f>
        <v>0</v>
      </c>
      <c r="S18" s="2">
        <f>IFERROR(VLOOKUP(A18,'Approved individual amount data'!$A$1:$S$135,19,FALSE),"")</f>
        <v>0</v>
      </c>
    </row>
    <row r="19" spans="1:19" x14ac:dyDescent="0.25">
      <c r="A19" t="str">
        <f>'Local multi year dist'!S19</f>
        <v>Buchanan County</v>
      </c>
      <c r="B19" s="2">
        <f>IFERROR(VLOOKUP(A19,'Approved individual amount data'!$A$1:$S$135,2,FALSE),"")</f>
        <v>0</v>
      </c>
      <c r="C19" s="2">
        <f>IFERROR(VLOOKUP(A19,'Approved individual amount data'!$A$1:$S$135,3,FALSE),"")</f>
        <v>0</v>
      </c>
      <c r="D19" s="2">
        <f>IFERROR(VLOOKUP(A19,'Approved individual amount data'!$A$1:$S$135,4,FALSE),"")</f>
        <v>0</v>
      </c>
      <c r="E19" s="2">
        <f>IFERROR(VLOOKUP(A19,'Approved individual amount data'!$A$1:$S$135,5,FALSE),"")</f>
        <v>0</v>
      </c>
      <c r="F19" s="2">
        <f>IFERROR(VLOOKUP(A19,'Approved individual amount data'!$A$1:$S$135,6,FALSE),"")</f>
        <v>0</v>
      </c>
      <c r="G19" s="2">
        <f>IFERROR(VLOOKUP(A19,'Approved individual amount data'!$A$1:$S$135,7,FALSE),"")</f>
        <v>0</v>
      </c>
      <c r="H19" s="2">
        <f>IFERROR(VLOOKUP(A19,'Approved individual amount data'!$A$1:$S$135,8,FALSE),"")</f>
        <v>0</v>
      </c>
      <c r="I19" s="2">
        <f>IFERROR(VLOOKUP(A19,'Approved individual amount data'!$A$1:$S$135,9,FALSE),"")</f>
        <v>0</v>
      </c>
      <c r="J19" s="2">
        <f>IFERROR(VLOOKUP(A19,'Approved individual amount data'!$A$1:$S$135,10,FALSE),"")</f>
        <v>0</v>
      </c>
      <c r="K19" s="2">
        <f>IFERROR(VLOOKUP(A19,'Approved individual amount data'!$A$1:$S$135,11,FALSE),"")</f>
        <v>0</v>
      </c>
      <c r="L19" s="2">
        <f>IFERROR(VLOOKUP(A19,'Approved individual amount data'!$A$1:$S$135,12,FALSE),"")</f>
        <v>0</v>
      </c>
      <c r="M19" s="2">
        <f>IFERROR(VLOOKUP(A19,'Approved individual amount data'!$A$1:$S$135,13,FALSE),"")</f>
        <v>0</v>
      </c>
      <c r="N19" s="2">
        <f>IFERROR(VLOOKUP(A19,'Approved individual amount data'!$A$1:$S$135,14,FALSE),"")</f>
        <v>0</v>
      </c>
      <c r="O19" s="2">
        <f>IFERROR(VLOOKUP(A19,'Approved individual amount data'!$A$1:$S$135,15,FALSE),"")</f>
        <v>0</v>
      </c>
      <c r="P19" s="2">
        <f>IFERROR(VLOOKUP(A19,'Approved individual amount data'!$A$1:$S$135,16,FALSE),"")</f>
        <v>0</v>
      </c>
      <c r="Q19" s="2">
        <f>IFERROR(VLOOKUP(A19,'Approved individual amount data'!$A$1:$S$135,17,FALSE),"")</f>
        <v>0</v>
      </c>
      <c r="R19" s="2">
        <f>IFERROR(VLOOKUP(A19,'Approved individual amount data'!$A$1:$S$135,18,FALSE),"")</f>
        <v>0</v>
      </c>
      <c r="S19" s="2">
        <f>IFERROR(VLOOKUP(A19,'Approved individual amount data'!$A$1:$S$135,19,FALSE),"")</f>
        <v>0</v>
      </c>
    </row>
    <row r="20" spans="1:19" x14ac:dyDescent="0.25">
      <c r="A20" t="str">
        <f>'Local multi year dist'!S20</f>
        <v>Buckingham County</v>
      </c>
      <c r="B20" s="2">
        <f>IFERROR(VLOOKUP(A20,'Approved individual amount data'!$A$1:$S$135,2,FALSE),"")</f>
        <v>0</v>
      </c>
      <c r="C20" s="2">
        <f>IFERROR(VLOOKUP(A20,'Approved individual amount data'!$A$1:$S$135,3,FALSE),"")</f>
        <v>0</v>
      </c>
      <c r="D20" s="2">
        <f>IFERROR(VLOOKUP(A20,'Approved individual amount data'!$A$1:$S$135,4,FALSE),"")</f>
        <v>0</v>
      </c>
      <c r="E20" s="2">
        <f>IFERROR(VLOOKUP(A20,'Approved individual amount data'!$A$1:$S$135,5,FALSE),"")</f>
        <v>0</v>
      </c>
      <c r="F20" s="2">
        <f>IFERROR(VLOOKUP(A20,'Approved individual amount data'!$A$1:$S$135,6,FALSE),"")</f>
        <v>0</v>
      </c>
      <c r="G20" s="2">
        <f>IFERROR(VLOOKUP(A20,'Approved individual amount data'!$A$1:$S$135,7,FALSE),"")</f>
        <v>0</v>
      </c>
      <c r="H20" s="2">
        <f>IFERROR(VLOOKUP(A20,'Approved individual amount data'!$A$1:$S$135,8,FALSE),"")</f>
        <v>0</v>
      </c>
      <c r="I20" s="2">
        <f>IFERROR(VLOOKUP(A20,'Approved individual amount data'!$A$1:$S$135,9,FALSE),"")</f>
        <v>0</v>
      </c>
      <c r="J20" s="2">
        <f>IFERROR(VLOOKUP(A20,'Approved individual amount data'!$A$1:$S$135,10,FALSE),"")</f>
        <v>0</v>
      </c>
      <c r="K20" s="2">
        <f>IFERROR(VLOOKUP(A20,'Approved individual amount data'!$A$1:$S$135,11,FALSE),"")</f>
        <v>0</v>
      </c>
      <c r="L20" s="2">
        <f>IFERROR(VLOOKUP(A20,'Approved individual amount data'!$A$1:$S$135,12,FALSE),"")</f>
        <v>0</v>
      </c>
      <c r="M20" s="2">
        <f>IFERROR(VLOOKUP(A20,'Approved individual amount data'!$A$1:$S$135,13,FALSE),"")</f>
        <v>0</v>
      </c>
      <c r="N20" s="2">
        <f>IFERROR(VLOOKUP(A20,'Approved individual amount data'!$A$1:$S$135,14,FALSE),"")</f>
        <v>0</v>
      </c>
      <c r="O20" s="2">
        <f>IFERROR(VLOOKUP(A20,'Approved individual amount data'!$A$1:$S$135,15,FALSE),"")</f>
        <v>0</v>
      </c>
      <c r="P20" s="2">
        <f>IFERROR(VLOOKUP(A20,'Approved individual amount data'!$A$1:$S$135,16,FALSE),"")</f>
        <v>0</v>
      </c>
      <c r="Q20" s="2">
        <f>IFERROR(VLOOKUP(A20,'Approved individual amount data'!$A$1:$S$135,17,FALSE),"")</f>
        <v>0</v>
      </c>
      <c r="R20" s="2">
        <f>IFERROR(VLOOKUP(A20,'Approved individual amount data'!$A$1:$S$135,18,FALSE),"")</f>
        <v>0</v>
      </c>
      <c r="S20" s="2">
        <f>IFERROR(VLOOKUP(A20,'Approved individual amount data'!$A$1:$S$135,19,FALSE),"")</f>
        <v>0</v>
      </c>
    </row>
    <row r="21" spans="1:19" x14ac:dyDescent="0.25">
      <c r="A21" t="str">
        <f>'Local multi year dist'!S21</f>
        <v>Buena Vista City</v>
      </c>
      <c r="B21" s="2">
        <f>IFERROR(VLOOKUP(A21,'Approved individual amount data'!$A$1:$S$135,2,FALSE),"")</f>
        <v>0</v>
      </c>
      <c r="C21" s="2">
        <f>IFERROR(VLOOKUP(A21,'Approved individual amount data'!$A$1:$S$135,3,FALSE),"")</f>
        <v>0</v>
      </c>
      <c r="D21" s="2">
        <f>IFERROR(VLOOKUP(A21,'Approved individual amount data'!$A$1:$S$135,4,FALSE),"")</f>
        <v>7266</v>
      </c>
      <c r="E21" s="2">
        <f>IFERROR(VLOOKUP(A21,'Approved individual amount data'!$A$1:$S$135,5,FALSE),"")</f>
        <v>3352</v>
      </c>
      <c r="F21" s="2">
        <f>IFERROR(VLOOKUP(A21,'Approved individual amount data'!$A$1:$S$135,6,FALSE),"")</f>
        <v>0</v>
      </c>
      <c r="G21" s="2">
        <f>IFERROR(VLOOKUP(A21,'Approved individual amount data'!$A$1:$S$135,7,FALSE),"")</f>
        <v>0</v>
      </c>
      <c r="H21" s="2">
        <f>IFERROR(VLOOKUP(A21,'Approved individual amount data'!$A$1:$S$135,8,FALSE),"")</f>
        <v>0</v>
      </c>
      <c r="I21" s="2">
        <f>IFERROR(VLOOKUP(A21,'Approved individual amount data'!$A$1:$S$135,9,FALSE),"")</f>
        <v>0</v>
      </c>
      <c r="J21" s="2">
        <f>IFERROR(VLOOKUP(A21,'Approved individual amount data'!$A$1:$S$135,10,FALSE),"")</f>
        <v>0</v>
      </c>
      <c r="K21" s="2">
        <f>IFERROR(VLOOKUP(A21,'Approved individual amount data'!$A$1:$S$135,11,FALSE),"")</f>
        <v>0</v>
      </c>
      <c r="L21" s="2">
        <f>IFERROR(VLOOKUP(A21,'Approved individual amount data'!$A$1:$S$135,12,FALSE),"")</f>
        <v>0</v>
      </c>
      <c r="M21" s="2">
        <f>IFERROR(VLOOKUP(A21,'Approved individual amount data'!$A$1:$S$135,13,FALSE),"")</f>
        <v>0</v>
      </c>
      <c r="N21" s="2">
        <f>IFERROR(VLOOKUP(A21,'Approved individual amount data'!$A$1:$S$135,14,FALSE),"")</f>
        <v>0</v>
      </c>
      <c r="O21" s="2">
        <f>IFERROR(VLOOKUP(A21,'Approved individual amount data'!$A$1:$S$135,15,FALSE),"")</f>
        <v>0</v>
      </c>
      <c r="P21" s="2">
        <f>IFERROR(VLOOKUP(A21,'Approved individual amount data'!$A$1:$S$135,16,FALSE),"")</f>
        <v>0</v>
      </c>
      <c r="Q21" s="2">
        <f>IFERROR(VLOOKUP(A21,'Approved individual amount data'!$A$1:$S$135,17,FALSE),"")</f>
        <v>0</v>
      </c>
      <c r="R21" s="2">
        <f>IFERROR(VLOOKUP(A21,'Approved individual amount data'!$A$1:$S$135,18,FALSE),"")</f>
        <v>0</v>
      </c>
      <c r="S21" s="2">
        <f>IFERROR(VLOOKUP(A21,'Approved individual amount data'!$A$1:$S$135,19,FALSE),"")</f>
        <v>0</v>
      </c>
    </row>
    <row r="22" spans="1:19" x14ac:dyDescent="0.25">
      <c r="A22" t="str">
        <f>'Local multi year dist'!S22</f>
        <v>Campbell County</v>
      </c>
      <c r="B22" s="2">
        <f>IFERROR(VLOOKUP(A22,'Approved individual amount data'!$A$1:$S$135,2,FALSE),"")</f>
        <v>0</v>
      </c>
      <c r="C22" s="2">
        <f>IFERROR(VLOOKUP(A22,'Approved individual amount data'!$A$1:$S$135,3,FALSE),"")</f>
        <v>0</v>
      </c>
      <c r="D22" s="2">
        <f>IFERROR(VLOOKUP(A22,'Approved individual amount data'!$A$1:$S$135,4,FALSE),"")</f>
        <v>0</v>
      </c>
      <c r="E22" s="2">
        <f>IFERROR(VLOOKUP(A22,'Approved individual amount data'!$A$1:$S$135,5,FALSE),"")</f>
        <v>0</v>
      </c>
      <c r="F22" s="2">
        <f>IFERROR(VLOOKUP(A22,'Approved individual amount data'!$A$1:$S$135,6,FALSE),"")</f>
        <v>0</v>
      </c>
      <c r="G22" s="2">
        <f>IFERROR(VLOOKUP(A22,'Approved individual amount data'!$A$1:$S$135,7,FALSE),"")</f>
        <v>0</v>
      </c>
      <c r="H22" s="2">
        <f>IFERROR(VLOOKUP(A22,'Approved individual amount data'!$A$1:$S$135,8,FALSE),"")</f>
        <v>0</v>
      </c>
      <c r="I22" s="2">
        <f>IFERROR(VLOOKUP(A22,'Approved individual amount data'!$A$1:$S$135,9,FALSE),"")</f>
        <v>0</v>
      </c>
      <c r="J22" s="2">
        <f>IFERROR(VLOOKUP(A22,'Approved individual amount data'!$A$1:$S$135,10,FALSE),"")</f>
        <v>0</v>
      </c>
      <c r="K22" s="2">
        <f>IFERROR(VLOOKUP(A22,'Approved individual amount data'!$A$1:$S$135,11,FALSE),"")</f>
        <v>0</v>
      </c>
      <c r="L22" s="2">
        <f>IFERROR(VLOOKUP(A22,'Approved individual amount data'!$A$1:$S$135,12,FALSE),"")</f>
        <v>0</v>
      </c>
      <c r="M22" s="2">
        <f>IFERROR(VLOOKUP(A22,'Approved individual amount data'!$A$1:$S$135,13,FALSE),"")</f>
        <v>0</v>
      </c>
      <c r="N22" s="2">
        <f>IFERROR(VLOOKUP(A22,'Approved individual amount data'!$A$1:$S$135,14,FALSE),"")</f>
        <v>0</v>
      </c>
      <c r="O22" s="2">
        <f>IFERROR(VLOOKUP(A22,'Approved individual amount data'!$A$1:$S$135,15,FALSE),"")</f>
        <v>0</v>
      </c>
      <c r="P22" s="2">
        <f>IFERROR(VLOOKUP(A22,'Approved individual amount data'!$A$1:$S$135,16,FALSE),"")</f>
        <v>0</v>
      </c>
      <c r="Q22" s="2">
        <f>IFERROR(VLOOKUP(A22,'Approved individual amount data'!$A$1:$S$135,17,FALSE),"")</f>
        <v>0</v>
      </c>
      <c r="R22" s="2">
        <f>IFERROR(VLOOKUP(A22,'Approved individual amount data'!$A$1:$S$135,18,FALSE),"")</f>
        <v>0</v>
      </c>
      <c r="S22" s="2">
        <f>IFERROR(VLOOKUP(A22,'Approved individual amount data'!$A$1:$S$135,19,FALSE),"")</f>
        <v>0</v>
      </c>
    </row>
    <row r="23" spans="1:19" x14ac:dyDescent="0.25">
      <c r="A23" t="str">
        <f>'Local multi year dist'!S23</f>
        <v>Caroline County</v>
      </c>
      <c r="B23" s="2">
        <f>IFERROR(VLOOKUP(A23,'Approved individual amount data'!$A$1:$S$135,2,FALSE),"")</f>
        <v>0</v>
      </c>
      <c r="C23" s="2">
        <f>IFERROR(VLOOKUP(A23,'Approved individual amount data'!$A$1:$S$135,3,FALSE),"")</f>
        <v>0</v>
      </c>
      <c r="D23" s="2">
        <f>IFERROR(VLOOKUP(A23,'Approved individual amount data'!$A$1:$S$135,4,FALSE),"")</f>
        <v>17290</v>
      </c>
      <c r="E23" s="2">
        <f>IFERROR(VLOOKUP(A23,'Approved individual amount data'!$A$1:$S$135,5,FALSE),"")</f>
        <v>17290</v>
      </c>
      <c r="F23" s="2">
        <f>IFERROR(VLOOKUP(A23,'Approved individual amount data'!$A$1:$S$135,6,FALSE),"")</f>
        <v>0</v>
      </c>
      <c r="G23" s="2">
        <f>IFERROR(VLOOKUP(A23,'Approved individual amount data'!$A$1:$S$135,7,FALSE),"")</f>
        <v>0</v>
      </c>
      <c r="H23" s="2">
        <f>IFERROR(VLOOKUP(A23,'Approved individual amount data'!$A$1:$S$135,8,FALSE),"")</f>
        <v>0</v>
      </c>
      <c r="I23" s="2">
        <f>IFERROR(VLOOKUP(A23,'Approved individual amount data'!$A$1:$S$135,9,FALSE),"")</f>
        <v>0</v>
      </c>
      <c r="J23" s="2">
        <f>IFERROR(VLOOKUP(A23,'Approved individual amount data'!$A$1:$S$135,10,FALSE),"")</f>
        <v>0</v>
      </c>
      <c r="K23" s="2">
        <f>IFERROR(VLOOKUP(A23,'Approved individual amount data'!$A$1:$S$135,11,FALSE),"")</f>
        <v>0</v>
      </c>
      <c r="L23" s="2">
        <f>IFERROR(VLOOKUP(A23,'Approved individual amount data'!$A$1:$S$135,12,FALSE),"")</f>
        <v>0</v>
      </c>
      <c r="M23" s="2">
        <f>IFERROR(VLOOKUP(A23,'Approved individual amount data'!$A$1:$S$135,13,FALSE),"")</f>
        <v>0</v>
      </c>
      <c r="N23" s="2">
        <f>IFERROR(VLOOKUP(A23,'Approved individual amount data'!$A$1:$S$135,14,FALSE),"")</f>
        <v>0</v>
      </c>
      <c r="O23" s="2">
        <f>IFERROR(VLOOKUP(A23,'Approved individual amount data'!$A$1:$S$135,15,FALSE),"")</f>
        <v>0</v>
      </c>
      <c r="P23" s="2">
        <f>IFERROR(VLOOKUP(A23,'Approved individual amount data'!$A$1:$S$135,16,FALSE),"")</f>
        <v>0</v>
      </c>
      <c r="Q23" s="2">
        <f>IFERROR(VLOOKUP(A23,'Approved individual amount data'!$A$1:$S$135,17,FALSE),"")</f>
        <v>0</v>
      </c>
      <c r="R23" s="2">
        <f>IFERROR(VLOOKUP(A23,'Approved individual amount data'!$A$1:$S$135,18,FALSE),"")</f>
        <v>0</v>
      </c>
      <c r="S23" s="2">
        <f>IFERROR(VLOOKUP(A23,'Approved individual amount data'!$A$1:$S$135,19,FALSE),"")</f>
        <v>0</v>
      </c>
    </row>
    <row r="24" spans="1:19" x14ac:dyDescent="0.25">
      <c r="A24" t="str">
        <f>'Local multi year dist'!S24</f>
        <v>Carroll County</v>
      </c>
      <c r="B24" s="2">
        <f>IFERROR(VLOOKUP(A24,'Approved individual amount data'!$A$1:$S$135,2,FALSE),"")</f>
        <v>0</v>
      </c>
      <c r="C24" s="2">
        <f>IFERROR(VLOOKUP(A24,'Approved individual amount data'!$A$1:$S$135,3,FALSE),"")</f>
        <v>0</v>
      </c>
      <c r="D24" s="2">
        <f>IFERROR(VLOOKUP(A24,'Approved individual amount data'!$A$1:$S$135,4,FALSE),"")</f>
        <v>0</v>
      </c>
      <c r="E24" s="2">
        <f>IFERROR(VLOOKUP(A24,'Approved individual amount data'!$A$1:$S$135,5,FALSE),"")</f>
        <v>0</v>
      </c>
      <c r="F24" s="2">
        <f>IFERROR(VLOOKUP(A24,'Approved individual amount data'!$A$1:$S$135,6,FALSE),"")</f>
        <v>0</v>
      </c>
      <c r="G24" s="2">
        <f>IFERROR(VLOOKUP(A24,'Approved individual amount data'!$A$1:$S$135,7,FALSE),"")</f>
        <v>0</v>
      </c>
      <c r="H24" s="2">
        <f>IFERROR(VLOOKUP(A24,'Approved individual amount data'!$A$1:$S$135,8,FALSE),"")</f>
        <v>0</v>
      </c>
      <c r="I24" s="2">
        <f>IFERROR(VLOOKUP(A24,'Approved individual amount data'!$A$1:$S$135,9,FALSE),"")</f>
        <v>0</v>
      </c>
      <c r="J24" s="2">
        <f>IFERROR(VLOOKUP(A24,'Approved individual amount data'!$A$1:$S$135,10,FALSE),"")</f>
        <v>0</v>
      </c>
      <c r="K24" s="2">
        <f>IFERROR(VLOOKUP(A24,'Approved individual amount data'!$A$1:$S$135,11,FALSE),"")</f>
        <v>0</v>
      </c>
      <c r="L24" s="2">
        <f>IFERROR(VLOOKUP(A24,'Approved individual amount data'!$A$1:$S$135,12,FALSE),"")</f>
        <v>0</v>
      </c>
      <c r="M24" s="2">
        <f>IFERROR(VLOOKUP(A24,'Approved individual amount data'!$A$1:$S$135,13,FALSE),"")</f>
        <v>0</v>
      </c>
      <c r="N24" s="2">
        <f>IFERROR(VLOOKUP(A24,'Approved individual amount data'!$A$1:$S$135,14,FALSE),"")</f>
        <v>0</v>
      </c>
      <c r="O24" s="2">
        <f>IFERROR(VLOOKUP(A24,'Approved individual amount data'!$A$1:$S$135,15,FALSE),"")</f>
        <v>0</v>
      </c>
      <c r="P24" s="2">
        <f>IFERROR(VLOOKUP(A24,'Approved individual amount data'!$A$1:$S$135,16,FALSE),"")</f>
        <v>0</v>
      </c>
      <c r="Q24" s="2">
        <f>IFERROR(VLOOKUP(A24,'Approved individual amount data'!$A$1:$S$135,17,FALSE),"")</f>
        <v>0</v>
      </c>
      <c r="R24" s="2">
        <f>IFERROR(VLOOKUP(A24,'Approved individual amount data'!$A$1:$S$135,18,FALSE),"")</f>
        <v>0</v>
      </c>
      <c r="S24" s="2">
        <f>IFERROR(VLOOKUP(A24,'Approved individual amount data'!$A$1:$S$135,19,FALSE),"")</f>
        <v>0</v>
      </c>
    </row>
    <row r="25" spans="1:19" x14ac:dyDescent="0.25">
      <c r="A25" t="str">
        <f>'Local multi year dist'!S25</f>
        <v>Charles City County</v>
      </c>
      <c r="B25" s="2">
        <f>IFERROR(VLOOKUP(A25,'Approved individual amount data'!$A$1:$S$135,2,FALSE),"")</f>
        <v>0</v>
      </c>
      <c r="C25" s="2">
        <f>IFERROR(VLOOKUP(A25,'Approved individual amount data'!$A$1:$S$135,3,FALSE),"")</f>
        <v>0</v>
      </c>
      <c r="D25" s="2">
        <f>IFERROR(VLOOKUP(A25,'Approved individual amount data'!$A$1:$S$135,4,FALSE),"")</f>
        <v>0</v>
      </c>
      <c r="E25" s="2">
        <f>IFERROR(VLOOKUP(A25,'Approved individual amount data'!$A$1:$S$135,5,FALSE),"")</f>
        <v>0</v>
      </c>
      <c r="F25" s="2">
        <f>IFERROR(VLOOKUP(A25,'Approved individual amount data'!$A$1:$S$135,6,FALSE),"")</f>
        <v>0</v>
      </c>
      <c r="G25" s="2">
        <f>IFERROR(VLOOKUP(A25,'Approved individual amount data'!$A$1:$S$135,7,FALSE),"")</f>
        <v>0</v>
      </c>
      <c r="H25" s="2">
        <f>IFERROR(VLOOKUP(A25,'Approved individual amount data'!$A$1:$S$135,8,FALSE),"")</f>
        <v>0</v>
      </c>
      <c r="I25" s="2">
        <f>IFERROR(VLOOKUP(A25,'Approved individual amount data'!$A$1:$S$135,9,FALSE),"")</f>
        <v>0</v>
      </c>
      <c r="J25" s="2">
        <f>IFERROR(VLOOKUP(A25,'Approved individual amount data'!$A$1:$S$135,10,FALSE),"")</f>
        <v>0</v>
      </c>
      <c r="K25" s="2">
        <f>IFERROR(VLOOKUP(A25,'Approved individual amount data'!$A$1:$S$135,11,FALSE),"")</f>
        <v>0</v>
      </c>
      <c r="L25" s="2">
        <f>IFERROR(VLOOKUP(A25,'Approved individual amount data'!$A$1:$S$135,12,FALSE),"")</f>
        <v>0</v>
      </c>
      <c r="M25" s="2">
        <f>IFERROR(VLOOKUP(A25,'Approved individual amount data'!$A$1:$S$135,13,FALSE),"")</f>
        <v>0</v>
      </c>
      <c r="N25" s="2">
        <f>IFERROR(VLOOKUP(A25,'Approved individual amount data'!$A$1:$S$135,14,FALSE),"")</f>
        <v>0</v>
      </c>
      <c r="O25" s="2">
        <f>IFERROR(VLOOKUP(A25,'Approved individual amount data'!$A$1:$S$135,15,FALSE),"")</f>
        <v>0</v>
      </c>
      <c r="P25" s="2">
        <f>IFERROR(VLOOKUP(A25,'Approved individual amount data'!$A$1:$S$135,16,FALSE),"")</f>
        <v>0</v>
      </c>
      <c r="Q25" s="2">
        <f>IFERROR(VLOOKUP(A25,'Approved individual amount data'!$A$1:$S$135,17,FALSE),"")</f>
        <v>0</v>
      </c>
      <c r="R25" s="2">
        <f>IFERROR(VLOOKUP(A25,'Approved individual amount data'!$A$1:$S$135,18,FALSE),"")</f>
        <v>0</v>
      </c>
      <c r="S25" s="2">
        <f>IFERROR(VLOOKUP(A25,'Approved individual amount data'!$A$1:$S$135,19,FALSE),"")</f>
        <v>0</v>
      </c>
    </row>
    <row r="26" spans="1:19" x14ac:dyDescent="0.25">
      <c r="A26" t="str">
        <f>'Local multi year dist'!S26</f>
        <v>Charlotte County</v>
      </c>
      <c r="B26" s="2">
        <f>IFERROR(VLOOKUP(A26,'Approved individual amount data'!$A$1:$S$135,2,FALSE),"")</f>
        <v>0</v>
      </c>
      <c r="C26" s="2">
        <f>IFERROR(VLOOKUP(A26,'Approved individual amount data'!$A$1:$S$135,3,FALSE),"")</f>
        <v>0</v>
      </c>
      <c r="D26" s="2">
        <f>IFERROR(VLOOKUP(A26,'Approved individual amount data'!$A$1:$S$135,4,FALSE),"")</f>
        <v>0</v>
      </c>
      <c r="E26" s="2">
        <f>IFERROR(VLOOKUP(A26,'Approved individual amount data'!$A$1:$S$135,5,FALSE),"")</f>
        <v>0</v>
      </c>
      <c r="F26" s="2">
        <f>IFERROR(VLOOKUP(A26,'Approved individual amount data'!$A$1:$S$135,6,FALSE),"")</f>
        <v>0</v>
      </c>
      <c r="G26" s="2">
        <f>IFERROR(VLOOKUP(A26,'Approved individual amount data'!$A$1:$S$135,7,FALSE),"")</f>
        <v>0</v>
      </c>
      <c r="H26" s="2">
        <f>IFERROR(VLOOKUP(A26,'Approved individual amount data'!$A$1:$S$135,8,FALSE),"")</f>
        <v>0</v>
      </c>
      <c r="I26" s="2">
        <f>IFERROR(VLOOKUP(A26,'Approved individual amount data'!$A$1:$S$135,9,FALSE),"")</f>
        <v>0</v>
      </c>
      <c r="J26" s="2">
        <f>IFERROR(VLOOKUP(A26,'Approved individual amount data'!$A$1:$S$135,10,FALSE),"")</f>
        <v>0</v>
      </c>
      <c r="K26" s="2">
        <f>IFERROR(VLOOKUP(A26,'Approved individual amount data'!$A$1:$S$135,11,FALSE),"")</f>
        <v>0</v>
      </c>
      <c r="L26" s="2">
        <f>IFERROR(VLOOKUP(A26,'Approved individual amount data'!$A$1:$S$135,12,FALSE),"")</f>
        <v>0</v>
      </c>
      <c r="M26" s="2">
        <f>IFERROR(VLOOKUP(A26,'Approved individual amount data'!$A$1:$S$135,13,FALSE),"")</f>
        <v>0</v>
      </c>
      <c r="N26" s="2">
        <f>IFERROR(VLOOKUP(A26,'Approved individual amount data'!$A$1:$S$135,14,FALSE),"")</f>
        <v>0</v>
      </c>
      <c r="O26" s="2">
        <f>IFERROR(VLOOKUP(A26,'Approved individual amount data'!$A$1:$S$135,15,FALSE),"")</f>
        <v>0</v>
      </c>
      <c r="P26" s="2">
        <f>IFERROR(VLOOKUP(A26,'Approved individual amount data'!$A$1:$S$135,16,FALSE),"")</f>
        <v>0</v>
      </c>
      <c r="Q26" s="2">
        <f>IFERROR(VLOOKUP(A26,'Approved individual amount data'!$A$1:$S$135,17,FALSE),"")</f>
        <v>0</v>
      </c>
      <c r="R26" s="2">
        <f>IFERROR(VLOOKUP(A26,'Approved individual amount data'!$A$1:$S$135,18,FALSE),"")</f>
        <v>0</v>
      </c>
      <c r="S26" s="2">
        <f>IFERROR(VLOOKUP(A26,'Approved individual amount data'!$A$1:$S$135,19,FALSE),"")</f>
        <v>0</v>
      </c>
    </row>
    <row r="27" spans="1:19" x14ac:dyDescent="0.25">
      <c r="A27" t="str">
        <f>'Local multi year dist'!S27</f>
        <v>Charlottesville City</v>
      </c>
      <c r="B27" s="2">
        <f>IFERROR(VLOOKUP(A27,'Approved individual amount data'!$A$1:$S$135,2,FALSE),"")</f>
        <v>0</v>
      </c>
      <c r="C27" s="2">
        <f>IFERROR(VLOOKUP(A27,'Approved individual amount data'!$A$1:$S$135,3,FALSE),"")</f>
        <v>0</v>
      </c>
      <c r="D27" s="2">
        <f>IFERROR(VLOOKUP(A27,'Approved individual amount data'!$A$1:$S$135,4,FALSE),"")</f>
        <v>0</v>
      </c>
      <c r="E27" s="2">
        <f>IFERROR(VLOOKUP(A27,'Approved individual amount data'!$A$1:$S$135,5,FALSE),"")</f>
        <v>0</v>
      </c>
      <c r="F27" s="2">
        <f>IFERROR(VLOOKUP(A27,'Approved individual amount data'!$A$1:$S$135,6,FALSE),"")</f>
        <v>0</v>
      </c>
      <c r="G27" s="2">
        <f>IFERROR(VLOOKUP(A27,'Approved individual amount data'!$A$1:$S$135,7,FALSE),"")</f>
        <v>0</v>
      </c>
      <c r="H27" s="2">
        <f>IFERROR(VLOOKUP(A27,'Approved individual amount data'!$A$1:$S$135,8,FALSE),"")</f>
        <v>0</v>
      </c>
      <c r="I27" s="2">
        <f>IFERROR(VLOOKUP(A27,'Approved individual amount data'!$A$1:$S$135,9,FALSE),"")</f>
        <v>0</v>
      </c>
      <c r="J27" s="2">
        <f>IFERROR(VLOOKUP(A27,'Approved individual amount data'!$A$1:$S$135,10,FALSE),"")</f>
        <v>0</v>
      </c>
      <c r="K27" s="2">
        <f>IFERROR(VLOOKUP(A27,'Approved individual amount data'!$A$1:$S$135,11,FALSE),"")</f>
        <v>0</v>
      </c>
      <c r="L27" s="2">
        <f>IFERROR(VLOOKUP(A27,'Approved individual amount data'!$A$1:$S$135,12,FALSE),"")</f>
        <v>0</v>
      </c>
      <c r="M27" s="2">
        <f>IFERROR(VLOOKUP(A27,'Approved individual amount data'!$A$1:$S$135,13,FALSE),"")</f>
        <v>0</v>
      </c>
      <c r="N27" s="2">
        <f>IFERROR(VLOOKUP(A27,'Approved individual amount data'!$A$1:$S$135,14,FALSE),"")</f>
        <v>0</v>
      </c>
      <c r="O27" s="2">
        <f>IFERROR(VLOOKUP(A27,'Approved individual amount data'!$A$1:$S$135,15,FALSE),"")</f>
        <v>0</v>
      </c>
      <c r="P27" s="2">
        <f>IFERROR(VLOOKUP(A27,'Approved individual amount data'!$A$1:$S$135,16,FALSE),"")</f>
        <v>0</v>
      </c>
      <c r="Q27" s="2">
        <f>IFERROR(VLOOKUP(A27,'Approved individual amount data'!$A$1:$S$135,17,FALSE),"")</f>
        <v>0</v>
      </c>
      <c r="R27" s="2">
        <f>IFERROR(VLOOKUP(A27,'Approved individual amount data'!$A$1:$S$135,18,FALSE),"")</f>
        <v>0</v>
      </c>
      <c r="S27" s="2">
        <f>IFERROR(VLOOKUP(A27,'Approved individual amount data'!$A$1:$S$135,19,FALSE),"")</f>
        <v>0</v>
      </c>
    </row>
    <row r="28" spans="1:19" x14ac:dyDescent="0.25">
      <c r="A28" t="str">
        <f>'Local multi year dist'!S28</f>
        <v>Chesapeake City</v>
      </c>
      <c r="B28" s="2">
        <f>IFERROR(VLOOKUP(A28,'Approved individual amount data'!$A$1:$S$135,2,FALSE),"")</f>
        <v>0</v>
      </c>
      <c r="C28" s="2">
        <f>IFERROR(VLOOKUP(A28,'Approved individual amount data'!$A$1:$S$135,3,FALSE),"")</f>
        <v>0</v>
      </c>
      <c r="D28" s="2">
        <f>IFERROR(VLOOKUP(A28,'Approved individual amount data'!$A$1:$S$135,4,FALSE),"")</f>
        <v>0</v>
      </c>
      <c r="E28" s="2">
        <f>IFERROR(VLOOKUP(A28,'Approved individual amount data'!$A$1:$S$135,5,FALSE),"")</f>
        <v>0</v>
      </c>
      <c r="F28" s="2">
        <f>IFERROR(VLOOKUP(A28,'Approved individual amount data'!$A$1:$S$135,6,FALSE),"")</f>
        <v>0</v>
      </c>
      <c r="G28" s="2">
        <f>IFERROR(VLOOKUP(A28,'Approved individual amount data'!$A$1:$S$135,7,FALSE),"")</f>
        <v>0</v>
      </c>
      <c r="H28" s="2">
        <f>IFERROR(VLOOKUP(A28,'Approved individual amount data'!$A$1:$S$135,8,FALSE),"")</f>
        <v>0</v>
      </c>
      <c r="I28" s="2">
        <f>IFERROR(VLOOKUP(A28,'Approved individual amount data'!$A$1:$S$135,9,FALSE),"")</f>
        <v>0</v>
      </c>
      <c r="J28" s="2">
        <f>IFERROR(VLOOKUP(A28,'Approved individual amount data'!$A$1:$S$135,10,FALSE),"")</f>
        <v>0</v>
      </c>
      <c r="K28" s="2">
        <f>IFERROR(VLOOKUP(A28,'Approved individual amount data'!$A$1:$S$135,11,FALSE),"")</f>
        <v>0</v>
      </c>
      <c r="L28" s="2">
        <f>IFERROR(VLOOKUP(A28,'Approved individual amount data'!$A$1:$S$135,12,FALSE),"")</f>
        <v>0</v>
      </c>
      <c r="M28" s="2">
        <f>IFERROR(VLOOKUP(A28,'Approved individual amount data'!$A$1:$S$135,13,FALSE),"")</f>
        <v>0</v>
      </c>
      <c r="N28" s="2">
        <f>IFERROR(VLOOKUP(A28,'Approved individual amount data'!$A$1:$S$135,14,FALSE),"")</f>
        <v>0</v>
      </c>
      <c r="O28" s="2">
        <f>IFERROR(VLOOKUP(A28,'Approved individual amount data'!$A$1:$S$135,15,FALSE),"")</f>
        <v>0</v>
      </c>
      <c r="P28" s="2">
        <f>IFERROR(VLOOKUP(A28,'Approved individual amount data'!$A$1:$S$135,16,FALSE),"")</f>
        <v>0</v>
      </c>
      <c r="Q28" s="2">
        <f>IFERROR(VLOOKUP(A28,'Approved individual amount data'!$A$1:$S$135,17,FALSE),"")</f>
        <v>0</v>
      </c>
      <c r="R28" s="2">
        <f>IFERROR(VLOOKUP(A28,'Approved individual amount data'!$A$1:$S$135,18,FALSE),"")</f>
        <v>0</v>
      </c>
      <c r="S28" s="2">
        <f>IFERROR(VLOOKUP(A28,'Approved individual amount data'!$A$1:$S$135,19,FALSE),"")</f>
        <v>0</v>
      </c>
    </row>
    <row r="29" spans="1:19" x14ac:dyDescent="0.25">
      <c r="A29" t="str">
        <f>'Local multi year dist'!S29</f>
        <v>Chesterfield County</v>
      </c>
      <c r="B29" s="2">
        <f>IFERROR(VLOOKUP(A29,'Approved individual amount data'!$A$1:$S$135,2,FALSE),"")</f>
        <v>0</v>
      </c>
      <c r="C29" s="2">
        <f>IFERROR(VLOOKUP(A29,'Approved individual amount data'!$A$1:$S$135,3,FALSE),"")</f>
        <v>0</v>
      </c>
      <c r="D29" s="2">
        <f>IFERROR(VLOOKUP(A29,'Approved individual amount data'!$A$1:$S$135,4,FALSE),"")</f>
        <v>89527</v>
      </c>
      <c r="E29" s="2">
        <f>IFERROR(VLOOKUP(A29,'Approved individual amount data'!$A$1:$S$135,5,FALSE),"")</f>
        <v>73592</v>
      </c>
      <c r="F29" s="2">
        <f>IFERROR(VLOOKUP(A29,'Approved individual amount data'!$A$1:$S$135,6,FALSE),"")</f>
        <v>0</v>
      </c>
      <c r="G29" s="2">
        <f>IFERROR(VLOOKUP(A29,'Approved individual amount data'!$A$1:$S$135,7,FALSE),"")</f>
        <v>0</v>
      </c>
      <c r="H29" s="2">
        <f>IFERROR(VLOOKUP(A29,'Approved individual amount data'!$A$1:$S$135,8,FALSE),"")</f>
        <v>0</v>
      </c>
      <c r="I29" s="2">
        <f>IFERROR(VLOOKUP(A29,'Approved individual amount data'!$A$1:$S$135,9,FALSE),"")</f>
        <v>0</v>
      </c>
      <c r="J29" s="2">
        <f>IFERROR(VLOOKUP(A29,'Approved individual amount data'!$A$1:$S$135,10,FALSE),"")</f>
        <v>0</v>
      </c>
      <c r="K29" s="2">
        <f>IFERROR(VLOOKUP(A29,'Approved individual amount data'!$A$1:$S$135,11,FALSE),"")</f>
        <v>0</v>
      </c>
      <c r="L29" s="2">
        <f>IFERROR(VLOOKUP(A29,'Approved individual amount data'!$A$1:$S$135,12,FALSE),"")</f>
        <v>0</v>
      </c>
      <c r="M29" s="2">
        <f>IFERROR(VLOOKUP(A29,'Approved individual amount data'!$A$1:$S$135,13,FALSE),"")</f>
        <v>0</v>
      </c>
      <c r="N29" s="2">
        <f>IFERROR(VLOOKUP(A29,'Approved individual amount data'!$A$1:$S$135,14,FALSE),"")</f>
        <v>0</v>
      </c>
      <c r="O29" s="2">
        <f>IFERROR(VLOOKUP(A29,'Approved individual amount data'!$A$1:$S$135,15,FALSE),"")</f>
        <v>0</v>
      </c>
      <c r="P29" s="2">
        <f>IFERROR(VLOOKUP(A29,'Approved individual amount data'!$A$1:$S$135,16,FALSE),"")</f>
        <v>0</v>
      </c>
      <c r="Q29" s="2">
        <f>IFERROR(VLOOKUP(A29,'Approved individual amount data'!$A$1:$S$135,17,FALSE),"")</f>
        <v>0</v>
      </c>
      <c r="R29" s="2">
        <f>IFERROR(VLOOKUP(A29,'Approved individual amount data'!$A$1:$S$135,18,FALSE),"")</f>
        <v>0</v>
      </c>
      <c r="S29" s="2">
        <f>IFERROR(VLOOKUP(A29,'Approved individual amount data'!$A$1:$S$135,19,FALSE),"")</f>
        <v>0</v>
      </c>
    </row>
    <row r="30" spans="1:19" x14ac:dyDescent="0.25">
      <c r="A30" t="str">
        <f>'Local multi year dist'!S30</f>
        <v>Clarke County</v>
      </c>
      <c r="B30" s="2">
        <f>IFERROR(VLOOKUP(A30,'Approved individual amount data'!$A$1:$S$135,2,FALSE),"")</f>
        <v>0</v>
      </c>
      <c r="C30" s="2">
        <f>IFERROR(VLOOKUP(A30,'Approved individual amount data'!$A$1:$S$135,3,FALSE),"")</f>
        <v>0</v>
      </c>
      <c r="D30" s="2">
        <f>IFERROR(VLOOKUP(A30,'Approved individual amount data'!$A$1:$S$135,4,FALSE),"")</f>
        <v>0</v>
      </c>
      <c r="E30" s="2">
        <f>IFERROR(VLOOKUP(A30,'Approved individual amount data'!$A$1:$S$135,5,FALSE),"")</f>
        <v>0</v>
      </c>
      <c r="F30" s="2">
        <f>IFERROR(VLOOKUP(A30,'Approved individual amount data'!$A$1:$S$135,6,FALSE),"")</f>
        <v>0</v>
      </c>
      <c r="G30" s="2">
        <f>IFERROR(VLOOKUP(A30,'Approved individual amount data'!$A$1:$S$135,7,FALSE),"")</f>
        <v>0</v>
      </c>
      <c r="H30" s="2">
        <f>IFERROR(VLOOKUP(A30,'Approved individual amount data'!$A$1:$S$135,8,FALSE),"")</f>
        <v>0</v>
      </c>
      <c r="I30" s="2">
        <f>IFERROR(VLOOKUP(A30,'Approved individual amount data'!$A$1:$S$135,9,FALSE),"")</f>
        <v>0</v>
      </c>
      <c r="J30" s="2">
        <f>IFERROR(VLOOKUP(A30,'Approved individual amount data'!$A$1:$S$135,10,FALSE),"")</f>
        <v>0</v>
      </c>
      <c r="K30" s="2">
        <f>IFERROR(VLOOKUP(A30,'Approved individual amount data'!$A$1:$S$135,11,FALSE),"")</f>
        <v>0</v>
      </c>
      <c r="L30" s="2">
        <f>IFERROR(VLOOKUP(A30,'Approved individual amount data'!$A$1:$S$135,12,FALSE),"")</f>
        <v>0</v>
      </c>
      <c r="M30" s="2">
        <f>IFERROR(VLOOKUP(A30,'Approved individual amount data'!$A$1:$S$135,13,FALSE),"")</f>
        <v>0</v>
      </c>
      <c r="N30" s="2">
        <f>IFERROR(VLOOKUP(A30,'Approved individual amount data'!$A$1:$S$135,14,FALSE),"")</f>
        <v>0</v>
      </c>
      <c r="O30" s="2">
        <f>IFERROR(VLOOKUP(A30,'Approved individual amount data'!$A$1:$S$135,15,FALSE),"")</f>
        <v>0</v>
      </c>
      <c r="P30" s="2">
        <f>IFERROR(VLOOKUP(A30,'Approved individual amount data'!$A$1:$S$135,16,FALSE),"")</f>
        <v>0</v>
      </c>
      <c r="Q30" s="2">
        <f>IFERROR(VLOOKUP(A30,'Approved individual amount data'!$A$1:$S$135,17,FALSE),"")</f>
        <v>0</v>
      </c>
      <c r="R30" s="2">
        <f>IFERROR(VLOOKUP(A30,'Approved individual amount data'!$A$1:$S$135,18,FALSE),"")</f>
        <v>0</v>
      </c>
      <c r="S30" s="2">
        <f>IFERROR(VLOOKUP(A30,'Approved individual amount data'!$A$1:$S$135,19,FALSE),"")</f>
        <v>0</v>
      </c>
    </row>
    <row r="31" spans="1:19" x14ac:dyDescent="0.25">
      <c r="A31" t="str">
        <f>'Local multi year dist'!S31</f>
        <v>Colonial Heights City</v>
      </c>
      <c r="B31" s="2">
        <f>IFERROR(VLOOKUP(A31,'Approved individual amount data'!$A$1:$S$135,2,FALSE),"")</f>
        <v>0</v>
      </c>
      <c r="C31" s="2">
        <f>IFERROR(VLOOKUP(A31,'Approved individual amount data'!$A$1:$S$135,3,FALSE),"")</f>
        <v>0</v>
      </c>
      <c r="D31" s="2">
        <f>IFERROR(VLOOKUP(A31,'Approved individual amount data'!$A$1:$S$135,4,FALSE),"")</f>
        <v>30400</v>
      </c>
      <c r="E31" s="2">
        <f>IFERROR(VLOOKUP(A31,'Approved individual amount data'!$A$1:$S$135,5,FALSE),"")</f>
        <v>5946</v>
      </c>
      <c r="F31" s="2">
        <f>IFERROR(VLOOKUP(A31,'Approved individual amount data'!$A$1:$S$135,6,FALSE),"")</f>
        <v>0</v>
      </c>
      <c r="G31" s="2">
        <f>IFERROR(VLOOKUP(A31,'Approved individual amount data'!$A$1:$S$135,7,FALSE),"")</f>
        <v>0</v>
      </c>
      <c r="H31" s="2">
        <f>IFERROR(VLOOKUP(A31,'Approved individual amount data'!$A$1:$S$135,8,FALSE),"")</f>
        <v>0</v>
      </c>
      <c r="I31" s="2">
        <f>IFERROR(VLOOKUP(A31,'Approved individual amount data'!$A$1:$S$135,9,FALSE),"")</f>
        <v>0</v>
      </c>
      <c r="J31" s="2">
        <f>IFERROR(VLOOKUP(A31,'Approved individual amount data'!$A$1:$S$135,10,FALSE),"")</f>
        <v>0</v>
      </c>
      <c r="K31" s="2">
        <f>IFERROR(VLOOKUP(A31,'Approved individual amount data'!$A$1:$S$135,11,FALSE),"")</f>
        <v>0</v>
      </c>
      <c r="L31" s="2">
        <f>IFERROR(VLOOKUP(A31,'Approved individual amount data'!$A$1:$S$135,12,FALSE),"")</f>
        <v>0</v>
      </c>
      <c r="M31" s="2">
        <f>IFERROR(VLOOKUP(A31,'Approved individual amount data'!$A$1:$S$135,13,FALSE),"")</f>
        <v>0</v>
      </c>
      <c r="N31" s="2">
        <f>IFERROR(VLOOKUP(A31,'Approved individual amount data'!$A$1:$S$135,14,FALSE),"")</f>
        <v>0</v>
      </c>
      <c r="O31" s="2">
        <f>IFERROR(VLOOKUP(A31,'Approved individual amount data'!$A$1:$S$135,15,FALSE),"")</f>
        <v>0</v>
      </c>
      <c r="P31" s="2">
        <f>IFERROR(VLOOKUP(A31,'Approved individual amount data'!$A$1:$S$135,16,FALSE),"")</f>
        <v>0</v>
      </c>
      <c r="Q31" s="2">
        <f>IFERROR(VLOOKUP(A31,'Approved individual amount data'!$A$1:$S$135,17,FALSE),"")</f>
        <v>0</v>
      </c>
      <c r="R31" s="2">
        <f>IFERROR(VLOOKUP(A31,'Approved individual amount data'!$A$1:$S$135,18,FALSE),"")</f>
        <v>0</v>
      </c>
      <c r="S31" s="2">
        <f>IFERROR(VLOOKUP(A31,'Approved individual amount data'!$A$1:$S$135,19,FALSE),"")</f>
        <v>0</v>
      </c>
    </row>
    <row r="32" spans="1:19" x14ac:dyDescent="0.25">
      <c r="A32" t="str">
        <f>'Local multi year dist'!S32</f>
        <v>Covington City</v>
      </c>
      <c r="B32" s="2">
        <f>IFERROR(VLOOKUP(A32,'Approved individual amount data'!$A$1:$S$135,2,FALSE),"")</f>
        <v>0</v>
      </c>
      <c r="C32" s="2">
        <f>IFERROR(VLOOKUP(A32,'Approved individual amount data'!$A$1:$S$135,3,FALSE),"")</f>
        <v>0</v>
      </c>
      <c r="D32" s="2">
        <f>IFERROR(VLOOKUP(A32,'Approved individual amount data'!$A$1:$S$135,4,FALSE),"")</f>
        <v>0</v>
      </c>
      <c r="E32" s="2">
        <f>IFERROR(VLOOKUP(A32,'Approved individual amount data'!$A$1:$S$135,5,FALSE),"")</f>
        <v>13612</v>
      </c>
      <c r="F32" s="2">
        <f>IFERROR(VLOOKUP(A32,'Approved individual amount data'!$A$1:$S$135,6,FALSE),"")</f>
        <v>0</v>
      </c>
      <c r="G32" s="2">
        <f>IFERROR(VLOOKUP(A32,'Approved individual amount data'!$A$1:$S$135,7,FALSE),"")</f>
        <v>0</v>
      </c>
      <c r="H32" s="2">
        <f>IFERROR(VLOOKUP(A32,'Approved individual amount data'!$A$1:$S$135,8,FALSE),"")</f>
        <v>0</v>
      </c>
      <c r="I32" s="2">
        <f>IFERROR(VLOOKUP(A32,'Approved individual amount data'!$A$1:$S$135,9,FALSE),"")</f>
        <v>0</v>
      </c>
      <c r="J32" s="2">
        <f>IFERROR(VLOOKUP(A32,'Approved individual amount data'!$A$1:$S$135,10,FALSE),"")</f>
        <v>0</v>
      </c>
      <c r="K32" s="2">
        <f>IFERROR(VLOOKUP(A32,'Approved individual amount data'!$A$1:$S$135,11,FALSE),"")</f>
        <v>0</v>
      </c>
      <c r="L32" s="2">
        <f>IFERROR(VLOOKUP(A32,'Approved individual amount data'!$A$1:$S$135,12,FALSE),"")</f>
        <v>0</v>
      </c>
      <c r="M32" s="2">
        <f>IFERROR(VLOOKUP(A32,'Approved individual amount data'!$A$1:$S$135,13,FALSE),"")</f>
        <v>0</v>
      </c>
      <c r="N32" s="2">
        <f>IFERROR(VLOOKUP(A32,'Approved individual amount data'!$A$1:$S$135,14,FALSE),"")</f>
        <v>0</v>
      </c>
      <c r="O32" s="2">
        <f>IFERROR(VLOOKUP(A32,'Approved individual amount data'!$A$1:$S$135,15,FALSE),"")</f>
        <v>0</v>
      </c>
      <c r="P32" s="2">
        <f>IFERROR(VLOOKUP(A32,'Approved individual amount data'!$A$1:$S$135,16,FALSE),"")</f>
        <v>0</v>
      </c>
      <c r="Q32" s="2">
        <f>IFERROR(VLOOKUP(A32,'Approved individual amount data'!$A$1:$S$135,17,FALSE),"")</f>
        <v>0</v>
      </c>
      <c r="R32" s="2">
        <f>IFERROR(VLOOKUP(A32,'Approved individual amount data'!$A$1:$S$135,18,FALSE),"")</f>
        <v>0</v>
      </c>
      <c r="S32" s="2">
        <f>IFERROR(VLOOKUP(A32,'Approved individual amount data'!$A$1:$S$135,19,FALSE),"")</f>
        <v>0</v>
      </c>
    </row>
    <row r="33" spans="1:19" x14ac:dyDescent="0.25">
      <c r="A33" t="str">
        <f>'Local multi year dist'!S33</f>
        <v>Craig County</v>
      </c>
      <c r="B33" s="2">
        <f>IFERROR(VLOOKUP(A33,'Approved individual amount data'!$A$1:$S$135,2,FALSE),"")</f>
        <v>0</v>
      </c>
      <c r="C33" s="2">
        <f>IFERROR(VLOOKUP(A33,'Approved individual amount data'!$A$1:$S$135,3,FALSE),"")</f>
        <v>0</v>
      </c>
      <c r="D33" s="2">
        <f>IFERROR(VLOOKUP(A33,'Approved individual amount data'!$A$1:$S$135,4,FALSE),"")</f>
        <v>0</v>
      </c>
      <c r="E33" s="2">
        <f>IFERROR(VLOOKUP(A33,'Approved individual amount data'!$A$1:$S$135,5,FALSE),"")</f>
        <v>0</v>
      </c>
      <c r="F33" s="2">
        <f>IFERROR(VLOOKUP(A33,'Approved individual amount data'!$A$1:$S$135,6,FALSE),"")</f>
        <v>0</v>
      </c>
      <c r="G33" s="2">
        <f>IFERROR(VLOOKUP(A33,'Approved individual amount data'!$A$1:$S$135,7,FALSE),"")</f>
        <v>0</v>
      </c>
      <c r="H33" s="2">
        <f>IFERROR(VLOOKUP(A33,'Approved individual amount data'!$A$1:$S$135,8,FALSE),"")</f>
        <v>0</v>
      </c>
      <c r="I33" s="2">
        <f>IFERROR(VLOOKUP(A33,'Approved individual amount data'!$A$1:$S$135,9,FALSE),"")</f>
        <v>0</v>
      </c>
      <c r="J33" s="2">
        <f>IFERROR(VLOOKUP(A33,'Approved individual amount data'!$A$1:$S$135,10,FALSE),"")</f>
        <v>0</v>
      </c>
      <c r="K33" s="2">
        <f>IFERROR(VLOOKUP(A33,'Approved individual amount data'!$A$1:$S$135,11,FALSE),"")</f>
        <v>0</v>
      </c>
      <c r="L33" s="2">
        <f>IFERROR(VLOOKUP(A33,'Approved individual amount data'!$A$1:$S$135,12,FALSE),"")</f>
        <v>0</v>
      </c>
      <c r="M33" s="2">
        <f>IFERROR(VLOOKUP(A33,'Approved individual amount data'!$A$1:$S$135,13,FALSE),"")</f>
        <v>0</v>
      </c>
      <c r="N33" s="2">
        <f>IFERROR(VLOOKUP(A33,'Approved individual amount data'!$A$1:$S$135,14,FALSE),"")</f>
        <v>0</v>
      </c>
      <c r="O33" s="2">
        <f>IFERROR(VLOOKUP(A33,'Approved individual amount data'!$A$1:$S$135,15,FALSE),"")</f>
        <v>0</v>
      </c>
      <c r="P33" s="2">
        <f>IFERROR(VLOOKUP(A33,'Approved individual amount data'!$A$1:$S$135,16,FALSE),"")</f>
        <v>0</v>
      </c>
      <c r="Q33" s="2">
        <f>IFERROR(VLOOKUP(A33,'Approved individual amount data'!$A$1:$S$135,17,FALSE),"")</f>
        <v>0</v>
      </c>
      <c r="R33" s="2">
        <f>IFERROR(VLOOKUP(A33,'Approved individual amount data'!$A$1:$S$135,18,FALSE),"")</f>
        <v>0</v>
      </c>
      <c r="S33" s="2">
        <f>IFERROR(VLOOKUP(A33,'Approved individual amount data'!$A$1:$S$135,19,FALSE),"")</f>
        <v>0</v>
      </c>
    </row>
    <row r="34" spans="1:19" x14ac:dyDescent="0.25">
      <c r="A34" t="str">
        <f>'Local multi year dist'!S34</f>
        <v>Culpeper County</v>
      </c>
      <c r="B34" s="2">
        <f>IFERROR(VLOOKUP(A34,'Approved individual amount data'!$A$1:$S$135,2,FALSE),"")</f>
        <v>0</v>
      </c>
      <c r="C34" s="2">
        <f>IFERROR(VLOOKUP(A34,'Approved individual amount data'!$A$1:$S$135,3,FALSE),"")</f>
        <v>0</v>
      </c>
      <c r="D34" s="2">
        <f>IFERROR(VLOOKUP(A34,'Approved individual amount data'!$A$1:$S$135,4,FALSE),"")</f>
        <v>0</v>
      </c>
      <c r="E34" s="2">
        <f>IFERROR(VLOOKUP(A34,'Approved individual amount data'!$A$1:$S$135,5,FALSE),"")</f>
        <v>0</v>
      </c>
      <c r="F34" s="2">
        <f>IFERROR(VLOOKUP(A34,'Approved individual amount data'!$A$1:$S$135,6,FALSE),"")</f>
        <v>0</v>
      </c>
      <c r="G34" s="2">
        <f>IFERROR(VLOOKUP(A34,'Approved individual amount data'!$A$1:$S$135,7,FALSE),"")</f>
        <v>0</v>
      </c>
      <c r="H34" s="2">
        <f>IFERROR(VLOOKUP(A34,'Approved individual amount data'!$A$1:$S$135,8,FALSE),"")</f>
        <v>0</v>
      </c>
      <c r="I34" s="2">
        <f>IFERROR(VLOOKUP(A34,'Approved individual amount data'!$A$1:$S$135,9,FALSE),"")</f>
        <v>0</v>
      </c>
      <c r="J34" s="2">
        <f>IFERROR(VLOOKUP(A34,'Approved individual amount data'!$A$1:$S$135,10,FALSE),"")</f>
        <v>0</v>
      </c>
      <c r="K34" s="2">
        <f>IFERROR(VLOOKUP(A34,'Approved individual amount data'!$A$1:$S$135,11,FALSE),"")</f>
        <v>0</v>
      </c>
      <c r="L34" s="2">
        <f>IFERROR(VLOOKUP(A34,'Approved individual amount data'!$A$1:$S$135,12,FALSE),"")</f>
        <v>0</v>
      </c>
      <c r="M34" s="2">
        <f>IFERROR(VLOOKUP(A34,'Approved individual amount data'!$A$1:$S$135,13,FALSE),"")</f>
        <v>0</v>
      </c>
      <c r="N34" s="2">
        <f>IFERROR(VLOOKUP(A34,'Approved individual amount data'!$A$1:$S$135,14,FALSE),"")</f>
        <v>0</v>
      </c>
      <c r="O34" s="2">
        <f>IFERROR(VLOOKUP(A34,'Approved individual amount data'!$A$1:$S$135,15,FALSE),"")</f>
        <v>0</v>
      </c>
      <c r="P34" s="2">
        <f>IFERROR(VLOOKUP(A34,'Approved individual amount data'!$A$1:$S$135,16,FALSE),"")</f>
        <v>0</v>
      </c>
      <c r="Q34" s="2">
        <f>IFERROR(VLOOKUP(A34,'Approved individual amount data'!$A$1:$S$135,17,FALSE),"")</f>
        <v>0</v>
      </c>
      <c r="R34" s="2">
        <f>IFERROR(VLOOKUP(A34,'Approved individual amount data'!$A$1:$S$135,18,FALSE),"")</f>
        <v>0</v>
      </c>
      <c r="S34" s="2">
        <f>IFERROR(VLOOKUP(A34,'Approved individual amount data'!$A$1:$S$135,19,FALSE),"")</f>
        <v>0</v>
      </c>
    </row>
    <row r="35" spans="1:19" x14ac:dyDescent="0.25">
      <c r="A35" t="str">
        <f>'Local multi year dist'!S35</f>
        <v>Cumberland County</v>
      </c>
      <c r="B35" s="2">
        <f>IFERROR(VLOOKUP(A35,'Approved individual amount data'!$A$1:$S$135,2,FALSE),"")</f>
        <v>0</v>
      </c>
      <c r="C35" s="2">
        <f>IFERROR(VLOOKUP(A35,'Approved individual amount data'!$A$1:$S$135,3,FALSE),"")</f>
        <v>0</v>
      </c>
      <c r="D35" s="2">
        <f>IFERROR(VLOOKUP(A35,'Approved individual amount data'!$A$1:$S$135,4,FALSE),"")</f>
        <v>0</v>
      </c>
      <c r="E35" s="2">
        <f>IFERROR(VLOOKUP(A35,'Approved individual amount data'!$A$1:$S$135,5,FALSE),"")</f>
        <v>0</v>
      </c>
      <c r="F35" s="2">
        <f>IFERROR(VLOOKUP(A35,'Approved individual amount data'!$A$1:$S$135,6,FALSE),"")</f>
        <v>0</v>
      </c>
      <c r="G35" s="2">
        <f>IFERROR(VLOOKUP(A35,'Approved individual amount data'!$A$1:$S$135,7,FALSE),"")</f>
        <v>0</v>
      </c>
      <c r="H35" s="2">
        <f>IFERROR(VLOOKUP(A35,'Approved individual amount data'!$A$1:$S$135,8,FALSE),"")</f>
        <v>0</v>
      </c>
      <c r="I35" s="2">
        <f>IFERROR(VLOOKUP(A35,'Approved individual amount data'!$A$1:$S$135,9,FALSE),"")</f>
        <v>0</v>
      </c>
      <c r="J35" s="2">
        <f>IFERROR(VLOOKUP(A35,'Approved individual amount data'!$A$1:$S$135,10,FALSE),"")</f>
        <v>0</v>
      </c>
      <c r="K35" s="2">
        <f>IFERROR(VLOOKUP(A35,'Approved individual amount data'!$A$1:$S$135,11,FALSE),"")</f>
        <v>0</v>
      </c>
      <c r="L35" s="2">
        <f>IFERROR(VLOOKUP(A35,'Approved individual amount data'!$A$1:$S$135,12,FALSE),"")</f>
        <v>0</v>
      </c>
      <c r="M35" s="2">
        <f>IFERROR(VLOOKUP(A35,'Approved individual amount data'!$A$1:$S$135,13,FALSE),"")</f>
        <v>0</v>
      </c>
      <c r="N35" s="2">
        <f>IFERROR(VLOOKUP(A35,'Approved individual amount data'!$A$1:$S$135,14,FALSE),"")</f>
        <v>0</v>
      </c>
      <c r="O35" s="2">
        <f>IFERROR(VLOOKUP(A35,'Approved individual amount data'!$A$1:$S$135,15,FALSE),"")</f>
        <v>0</v>
      </c>
      <c r="P35" s="2">
        <f>IFERROR(VLOOKUP(A35,'Approved individual amount data'!$A$1:$S$135,16,FALSE),"")</f>
        <v>0</v>
      </c>
      <c r="Q35" s="2">
        <f>IFERROR(VLOOKUP(A35,'Approved individual amount data'!$A$1:$S$135,17,FALSE),"")</f>
        <v>0</v>
      </c>
      <c r="R35" s="2">
        <f>IFERROR(VLOOKUP(A35,'Approved individual amount data'!$A$1:$S$135,18,FALSE),"")</f>
        <v>0</v>
      </c>
      <c r="S35" s="2">
        <f>IFERROR(VLOOKUP(A35,'Approved individual amount data'!$A$1:$S$135,19,FALSE),"")</f>
        <v>0</v>
      </c>
    </row>
    <row r="36" spans="1:19" x14ac:dyDescent="0.25">
      <c r="A36" t="str">
        <f>'Local multi year dist'!S36</f>
        <v>Danville City</v>
      </c>
      <c r="B36" s="2">
        <f>IFERROR(VLOOKUP(A36,'Approved individual amount data'!$A$1:$S$135,2,FALSE),"")</f>
        <v>0</v>
      </c>
      <c r="C36" s="2">
        <f>IFERROR(VLOOKUP(A36,'Approved individual amount data'!$A$1:$S$135,3,FALSE),"")</f>
        <v>0</v>
      </c>
      <c r="D36" s="2">
        <f>IFERROR(VLOOKUP(A36,'Approved individual amount data'!$A$1:$S$135,4,FALSE),"")</f>
        <v>31687</v>
      </c>
      <c r="E36" s="2">
        <f>IFERROR(VLOOKUP(A36,'Approved individual amount data'!$A$1:$S$135,5,FALSE),"")</f>
        <v>40000</v>
      </c>
      <c r="F36" s="2">
        <f>IFERROR(VLOOKUP(A36,'Approved individual amount data'!$A$1:$S$135,6,FALSE),"")</f>
        <v>0</v>
      </c>
      <c r="G36" s="2">
        <f>IFERROR(VLOOKUP(A36,'Approved individual amount data'!$A$1:$S$135,7,FALSE),"")</f>
        <v>0</v>
      </c>
      <c r="H36" s="2">
        <f>IFERROR(VLOOKUP(A36,'Approved individual amount data'!$A$1:$S$135,8,FALSE),"")</f>
        <v>0</v>
      </c>
      <c r="I36" s="2">
        <f>IFERROR(VLOOKUP(A36,'Approved individual amount data'!$A$1:$S$135,9,FALSE),"")</f>
        <v>0</v>
      </c>
      <c r="J36" s="2">
        <f>IFERROR(VLOOKUP(A36,'Approved individual amount data'!$A$1:$S$135,10,FALSE),"")</f>
        <v>0</v>
      </c>
      <c r="K36" s="2">
        <f>IFERROR(VLOOKUP(A36,'Approved individual amount data'!$A$1:$S$135,11,FALSE),"")</f>
        <v>0</v>
      </c>
      <c r="L36" s="2">
        <f>IFERROR(VLOOKUP(A36,'Approved individual amount data'!$A$1:$S$135,12,FALSE),"")</f>
        <v>0</v>
      </c>
      <c r="M36" s="2">
        <f>IFERROR(VLOOKUP(A36,'Approved individual amount data'!$A$1:$S$135,13,FALSE),"")</f>
        <v>0</v>
      </c>
      <c r="N36" s="2">
        <f>IFERROR(VLOOKUP(A36,'Approved individual amount data'!$A$1:$S$135,14,FALSE),"")</f>
        <v>0</v>
      </c>
      <c r="O36" s="2">
        <f>IFERROR(VLOOKUP(A36,'Approved individual amount data'!$A$1:$S$135,15,FALSE),"")</f>
        <v>0</v>
      </c>
      <c r="P36" s="2">
        <f>IFERROR(VLOOKUP(A36,'Approved individual amount data'!$A$1:$S$135,16,FALSE),"")</f>
        <v>0</v>
      </c>
      <c r="Q36" s="2">
        <f>IFERROR(VLOOKUP(A36,'Approved individual amount data'!$A$1:$S$135,17,FALSE),"")</f>
        <v>0</v>
      </c>
      <c r="R36" s="2">
        <f>IFERROR(VLOOKUP(A36,'Approved individual amount data'!$A$1:$S$135,18,FALSE),"")</f>
        <v>0</v>
      </c>
      <c r="S36" s="2">
        <f>IFERROR(VLOOKUP(A36,'Approved individual amount data'!$A$1:$S$135,19,FALSE),"")</f>
        <v>0</v>
      </c>
    </row>
    <row r="37" spans="1:19" x14ac:dyDescent="0.25">
      <c r="A37" t="str">
        <f>'Local multi year dist'!S37</f>
        <v>Dickenson County</v>
      </c>
      <c r="B37" s="2">
        <f>IFERROR(VLOOKUP(A37,'Approved individual amount data'!$A$1:$S$135,2,FALSE),"")</f>
        <v>0</v>
      </c>
      <c r="C37" s="2">
        <f>IFERROR(VLOOKUP(A37,'Approved individual amount data'!$A$1:$S$135,3,FALSE),"")</f>
        <v>0</v>
      </c>
      <c r="D37" s="2">
        <f>IFERROR(VLOOKUP(A37,'Approved individual amount data'!$A$1:$S$135,4,FALSE),"")</f>
        <v>0</v>
      </c>
      <c r="E37" s="2">
        <f>IFERROR(VLOOKUP(A37,'Approved individual amount data'!$A$1:$S$135,5,FALSE),"")</f>
        <v>0</v>
      </c>
      <c r="F37" s="2">
        <f>IFERROR(VLOOKUP(A37,'Approved individual amount data'!$A$1:$S$135,6,FALSE),"")</f>
        <v>0</v>
      </c>
      <c r="G37" s="2">
        <f>IFERROR(VLOOKUP(A37,'Approved individual amount data'!$A$1:$S$135,7,FALSE),"")</f>
        <v>0</v>
      </c>
      <c r="H37" s="2">
        <f>IFERROR(VLOOKUP(A37,'Approved individual amount data'!$A$1:$S$135,8,FALSE),"")</f>
        <v>0</v>
      </c>
      <c r="I37" s="2">
        <f>IFERROR(VLOOKUP(A37,'Approved individual amount data'!$A$1:$S$135,9,FALSE),"")</f>
        <v>0</v>
      </c>
      <c r="J37" s="2">
        <f>IFERROR(VLOOKUP(A37,'Approved individual amount data'!$A$1:$S$135,10,FALSE),"")</f>
        <v>0</v>
      </c>
      <c r="K37" s="2">
        <f>IFERROR(VLOOKUP(A37,'Approved individual amount data'!$A$1:$S$135,11,FALSE),"")</f>
        <v>0</v>
      </c>
      <c r="L37" s="2">
        <f>IFERROR(VLOOKUP(A37,'Approved individual amount data'!$A$1:$S$135,12,FALSE),"")</f>
        <v>0</v>
      </c>
      <c r="M37" s="2">
        <f>IFERROR(VLOOKUP(A37,'Approved individual amount data'!$A$1:$S$135,13,FALSE),"")</f>
        <v>0</v>
      </c>
      <c r="N37" s="2">
        <f>IFERROR(VLOOKUP(A37,'Approved individual amount data'!$A$1:$S$135,14,FALSE),"")</f>
        <v>0</v>
      </c>
      <c r="O37" s="2">
        <f>IFERROR(VLOOKUP(A37,'Approved individual amount data'!$A$1:$S$135,15,FALSE),"")</f>
        <v>0</v>
      </c>
      <c r="P37" s="2">
        <f>IFERROR(VLOOKUP(A37,'Approved individual amount data'!$A$1:$S$135,16,FALSE),"")</f>
        <v>0</v>
      </c>
      <c r="Q37" s="2">
        <f>IFERROR(VLOOKUP(A37,'Approved individual amount data'!$A$1:$S$135,17,FALSE),"")</f>
        <v>0</v>
      </c>
      <c r="R37" s="2">
        <f>IFERROR(VLOOKUP(A37,'Approved individual amount data'!$A$1:$S$135,18,FALSE),"")</f>
        <v>0</v>
      </c>
      <c r="S37" s="2">
        <f>IFERROR(VLOOKUP(A37,'Approved individual amount data'!$A$1:$S$135,19,FALSE),"")</f>
        <v>0</v>
      </c>
    </row>
    <row r="38" spans="1:19" x14ac:dyDescent="0.25">
      <c r="A38" t="str">
        <f>'Local multi year dist'!S38</f>
        <v>Dinwiddie County</v>
      </c>
      <c r="B38" s="2">
        <f>IFERROR(VLOOKUP(A38,'Approved individual amount data'!$A$1:$S$135,2,FALSE),"")</f>
        <v>0</v>
      </c>
      <c r="C38" s="2">
        <f>IFERROR(VLOOKUP(A38,'Approved individual amount data'!$A$1:$S$135,3,FALSE),"")</f>
        <v>0</v>
      </c>
      <c r="D38" s="2">
        <f>IFERROR(VLOOKUP(A38,'Approved individual amount data'!$A$1:$S$135,4,FALSE),"")</f>
        <v>0</v>
      </c>
      <c r="E38" s="2">
        <f>IFERROR(VLOOKUP(A38,'Approved individual amount data'!$A$1:$S$135,5,FALSE),"")</f>
        <v>0</v>
      </c>
      <c r="F38" s="2">
        <f>IFERROR(VLOOKUP(A38,'Approved individual amount data'!$A$1:$S$135,6,FALSE),"")</f>
        <v>0</v>
      </c>
      <c r="G38" s="2">
        <f>IFERROR(VLOOKUP(A38,'Approved individual amount data'!$A$1:$S$135,7,FALSE),"")</f>
        <v>0</v>
      </c>
      <c r="H38" s="2">
        <f>IFERROR(VLOOKUP(A38,'Approved individual amount data'!$A$1:$S$135,8,FALSE),"")</f>
        <v>0</v>
      </c>
      <c r="I38" s="2">
        <f>IFERROR(VLOOKUP(A38,'Approved individual amount data'!$A$1:$S$135,9,FALSE),"")</f>
        <v>0</v>
      </c>
      <c r="J38" s="2">
        <f>IFERROR(VLOOKUP(A38,'Approved individual amount data'!$A$1:$S$135,10,FALSE),"")</f>
        <v>0</v>
      </c>
      <c r="K38" s="2">
        <f>IFERROR(VLOOKUP(A38,'Approved individual amount data'!$A$1:$S$135,11,FALSE),"")</f>
        <v>0</v>
      </c>
      <c r="L38" s="2">
        <f>IFERROR(VLOOKUP(A38,'Approved individual amount data'!$A$1:$S$135,12,FALSE),"")</f>
        <v>0</v>
      </c>
      <c r="M38" s="2">
        <f>IFERROR(VLOOKUP(A38,'Approved individual amount data'!$A$1:$S$135,13,FALSE),"")</f>
        <v>0</v>
      </c>
      <c r="N38" s="2">
        <f>IFERROR(VLOOKUP(A38,'Approved individual amount data'!$A$1:$S$135,14,FALSE),"")</f>
        <v>0</v>
      </c>
      <c r="O38" s="2">
        <f>IFERROR(VLOOKUP(A38,'Approved individual amount data'!$A$1:$S$135,15,FALSE),"")</f>
        <v>0</v>
      </c>
      <c r="P38" s="2">
        <f>IFERROR(VLOOKUP(A38,'Approved individual amount data'!$A$1:$S$135,16,FALSE),"")</f>
        <v>0</v>
      </c>
      <c r="Q38" s="2">
        <f>IFERROR(VLOOKUP(A38,'Approved individual amount data'!$A$1:$S$135,17,FALSE),"")</f>
        <v>0</v>
      </c>
      <c r="R38" s="2">
        <f>IFERROR(VLOOKUP(A38,'Approved individual amount data'!$A$1:$S$135,18,FALSE),"")</f>
        <v>0</v>
      </c>
      <c r="S38" s="2">
        <f>IFERROR(VLOOKUP(A38,'Approved individual amount data'!$A$1:$S$135,19,FALSE),"")</f>
        <v>0</v>
      </c>
    </row>
    <row r="39" spans="1:19" x14ac:dyDescent="0.25">
      <c r="A39" t="str">
        <f>'Local multi year dist'!S39</f>
        <v>Emporia City</v>
      </c>
      <c r="B39" s="2">
        <f>IFERROR(VLOOKUP(A39,'Approved individual amount data'!$A$1:$S$135,2,FALSE),"")</f>
        <v>0</v>
      </c>
      <c r="C39" s="2">
        <f>IFERROR(VLOOKUP(A39,'Approved individual amount data'!$A$1:$S$135,3,FALSE),"")</f>
        <v>0</v>
      </c>
      <c r="D39" s="2">
        <f>IFERROR(VLOOKUP(A39,'Approved individual amount data'!$A$1:$S$135,4,FALSE),"")</f>
        <v>0</v>
      </c>
      <c r="E39" s="2">
        <f>IFERROR(VLOOKUP(A39,'Approved individual amount data'!$A$1:$S$135,5,FALSE),"")</f>
        <v>0</v>
      </c>
      <c r="F39" s="2">
        <f>IFERROR(VLOOKUP(A39,'Approved individual amount data'!$A$1:$S$135,6,FALSE),"")</f>
        <v>0</v>
      </c>
      <c r="G39" s="2">
        <f>IFERROR(VLOOKUP(A39,'Approved individual amount data'!$A$1:$S$135,7,FALSE),"")</f>
        <v>0</v>
      </c>
      <c r="H39" s="2">
        <f>IFERROR(VLOOKUP(A39,'Approved individual amount data'!$A$1:$S$135,8,FALSE),"")</f>
        <v>0</v>
      </c>
      <c r="I39" s="2">
        <f>IFERROR(VLOOKUP(A39,'Approved individual amount data'!$A$1:$S$135,9,FALSE),"")</f>
        <v>0</v>
      </c>
      <c r="J39" s="2">
        <f>IFERROR(VLOOKUP(A39,'Approved individual amount data'!$A$1:$S$135,10,FALSE),"")</f>
        <v>0</v>
      </c>
      <c r="K39" s="2">
        <f>IFERROR(VLOOKUP(A39,'Approved individual amount data'!$A$1:$S$135,11,FALSE),"")</f>
        <v>0</v>
      </c>
      <c r="L39" s="2">
        <f>IFERROR(VLOOKUP(A39,'Approved individual amount data'!$A$1:$S$135,12,FALSE),"")</f>
        <v>0</v>
      </c>
      <c r="M39" s="2">
        <f>IFERROR(VLOOKUP(A39,'Approved individual amount data'!$A$1:$S$135,13,FALSE),"")</f>
        <v>0</v>
      </c>
      <c r="N39" s="2">
        <f>IFERROR(VLOOKUP(A39,'Approved individual amount data'!$A$1:$S$135,14,FALSE),"")</f>
        <v>0</v>
      </c>
      <c r="O39" s="2">
        <f>IFERROR(VLOOKUP(A39,'Approved individual amount data'!$A$1:$S$135,15,FALSE),"")</f>
        <v>0</v>
      </c>
      <c r="P39" s="2">
        <f>IFERROR(VLOOKUP(A39,'Approved individual amount data'!$A$1:$S$135,16,FALSE),"")</f>
        <v>0</v>
      </c>
      <c r="Q39" s="2">
        <f>IFERROR(VLOOKUP(A39,'Approved individual amount data'!$A$1:$S$135,17,FALSE),"")</f>
        <v>0</v>
      </c>
      <c r="R39" s="2">
        <f>IFERROR(VLOOKUP(A39,'Approved individual amount data'!$A$1:$S$135,18,FALSE),"")</f>
        <v>0</v>
      </c>
      <c r="S39" s="2">
        <f>IFERROR(VLOOKUP(A39,'Approved individual amount data'!$A$1:$S$135,19,FALSE),"")</f>
        <v>0</v>
      </c>
    </row>
    <row r="40" spans="1:19" x14ac:dyDescent="0.25">
      <c r="A40" t="str">
        <f>'Local multi year dist'!S40</f>
        <v>Essex County</v>
      </c>
      <c r="B40" s="2">
        <f>IFERROR(VLOOKUP(A40,'Approved individual amount data'!$A$1:$S$135,2,FALSE),"")</f>
        <v>0</v>
      </c>
      <c r="C40" s="2">
        <f>IFERROR(VLOOKUP(A40,'Approved individual amount data'!$A$1:$S$135,3,FALSE),"")</f>
        <v>0</v>
      </c>
      <c r="D40" s="2">
        <f>IFERROR(VLOOKUP(A40,'Approved individual amount data'!$A$1:$S$135,4,FALSE),"")</f>
        <v>0</v>
      </c>
      <c r="E40" s="2">
        <f>IFERROR(VLOOKUP(A40,'Approved individual amount data'!$A$1:$S$135,5,FALSE),"")</f>
        <v>0</v>
      </c>
      <c r="F40" s="2">
        <f>IFERROR(VLOOKUP(A40,'Approved individual amount data'!$A$1:$S$135,6,FALSE),"")</f>
        <v>0</v>
      </c>
      <c r="G40" s="2">
        <f>IFERROR(VLOOKUP(A40,'Approved individual amount data'!$A$1:$S$135,7,FALSE),"")</f>
        <v>0</v>
      </c>
      <c r="H40" s="2">
        <f>IFERROR(VLOOKUP(A40,'Approved individual amount data'!$A$1:$S$135,8,FALSE),"")</f>
        <v>0</v>
      </c>
      <c r="I40" s="2">
        <f>IFERROR(VLOOKUP(A40,'Approved individual amount data'!$A$1:$S$135,9,FALSE),"")</f>
        <v>0</v>
      </c>
      <c r="J40" s="2">
        <f>IFERROR(VLOOKUP(A40,'Approved individual amount data'!$A$1:$S$135,10,FALSE),"")</f>
        <v>0</v>
      </c>
      <c r="K40" s="2">
        <f>IFERROR(VLOOKUP(A40,'Approved individual amount data'!$A$1:$S$135,11,FALSE),"")</f>
        <v>0</v>
      </c>
      <c r="L40" s="2">
        <f>IFERROR(VLOOKUP(A40,'Approved individual amount data'!$A$1:$S$135,12,FALSE),"")</f>
        <v>0</v>
      </c>
      <c r="M40" s="2">
        <f>IFERROR(VLOOKUP(A40,'Approved individual amount data'!$A$1:$S$135,13,FALSE),"")</f>
        <v>0</v>
      </c>
      <c r="N40" s="2">
        <f>IFERROR(VLOOKUP(A40,'Approved individual amount data'!$A$1:$S$135,14,FALSE),"")</f>
        <v>0</v>
      </c>
      <c r="O40" s="2">
        <f>IFERROR(VLOOKUP(A40,'Approved individual amount data'!$A$1:$S$135,15,FALSE),"")</f>
        <v>0</v>
      </c>
      <c r="P40" s="2">
        <f>IFERROR(VLOOKUP(A40,'Approved individual amount data'!$A$1:$S$135,16,FALSE),"")</f>
        <v>0</v>
      </c>
      <c r="Q40" s="2">
        <f>IFERROR(VLOOKUP(A40,'Approved individual amount data'!$A$1:$S$135,17,FALSE),"")</f>
        <v>0</v>
      </c>
      <c r="R40" s="2">
        <f>IFERROR(VLOOKUP(A40,'Approved individual amount data'!$A$1:$S$135,18,FALSE),"")</f>
        <v>0</v>
      </c>
      <c r="S40" s="2">
        <f>IFERROR(VLOOKUP(A40,'Approved individual amount data'!$A$1:$S$135,19,FALSE),"")</f>
        <v>0</v>
      </c>
    </row>
    <row r="41" spans="1:19" x14ac:dyDescent="0.25">
      <c r="A41" t="str">
        <f>'Local multi year dist'!S41</f>
        <v>Fairfax County</v>
      </c>
      <c r="B41" s="2">
        <f>IFERROR(VLOOKUP(A41,'Approved individual amount data'!$A$1:$S$135,2,FALSE),"")</f>
        <v>0</v>
      </c>
      <c r="C41" s="2">
        <f>IFERROR(VLOOKUP(A41,'Approved individual amount data'!$A$1:$S$135,3,FALSE),"")</f>
        <v>0</v>
      </c>
      <c r="D41" s="2">
        <f>IFERROR(VLOOKUP(A41,'Approved individual amount data'!$A$1:$S$135,4,FALSE),"")</f>
        <v>863988</v>
      </c>
      <c r="E41" s="2">
        <f>IFERROR(VLOOKUP(A41,'Approved individual amount data'!$A$1:$S$135,5,FALSE),"")</f>
        <v>157804</v>
      </c>
      <c r="F41" s="2">
        <f>IFERROR(VLOOKUP(A41,'Approved individual amount data'!$A$1:$S$135,6,FALSE),"")</f>
        <v>0</v>
      </c>
      <c r="G41" s="2">
        <f>IFERROR(VLOOKUP(A41,'Approved individual amount data'!$A$1:$S$135,7,FALSE),"")</f>
        <v>0</v>
      </c>
      <c r="H41" s="2">
        <f>IFERROR(VLOOKUP(A41,'Approved individual amount data'!$A$1:$S$135,8,FALSE),"")</f>
        <v>0</v>
      </c>
      <c r="I41" s="2">
        <f>IFERROR(VLOOKUP(A41,'Approved individual amount data'!$A$1:$S$135,9,FALSE),"")</f>
        <v>0</v>
      </c>
      <c r="J41" s="2">
        <f>IFERROR(VLOOKUP(A41,'Approved individual amount data'!$A$1:$S$135,10,FALSE),"")</f>
        <v>0</v>
      </c>
      <c r="K41" s="2">
        <f>IFERROR(VLOOKUP(A41,'Approved individual amount data'!$A$1:$S$135,11,FALSE),"")</f>
        <v>0</v>
      </c>
      <c r="L41" s="2">
        <f>IFERROR(VLOOKUP(A41,'Approved individual amount data'!$A$1:$S$135,12,FALSE),"")</f>
        <v>0</v>
      </c>
      <c r="M41" s="2">
        <f>IFERROR(VLOOKUP(A41,'Approved individual amount data'!$A$1:$S$135,13,FALSE),"")</f>
        <v>0</v>
      </c>
      <c r="N41" s="2">
        <f>IFERROR(VLOOKUP(A41,'Approved individual amount data'!$A$1:$S$135,14,FALSE),"")</f>
        <v>0</v>
      </c>
      <c r="O41" s="2">
        <f>IFERROR(VLOOKUP(A41,'Approved individual amount data'!$A$1:$S$135,15,FALSE),"")</f>
        <v>0</v>
      </c>
      <c r="P41" s="2">
        <f>IFERROR(VLOOKUP(A41,'Approved individual amount data'!$A$1:$S$135,16,FALSE),"")</f>
        <v>0</v>
      </c>
      <c r="Q41" s="2">
        <f>IFERROR(VLOOKUP(A41,'Approved individual amount data'!$A$1:$S$135,17,FALSE),"")</f>
        <v>0</v>
      </c>
      <c r="R41" s="2">
        <f>IFERROR(VLOOKUP(A41,'Approved individual amount data'!$A$1:$S$135,18,FALSE),"")</f>
        <v>0</v>
      </c>
      <c r="S41" s="2">
        <f>IFERROR(VLOOKUP(A41,'Approved individual amount data'!$A$1:$S$135,19,FALSE),"")</f>
        <v>0</v>
      </c>
    </row>
    <row r="42" spans="1:19" x14ac:dyDescent="0.25">
      <c r="A42" t="str">
        <f>'Local multi year dist'!S42</f>
        <v>Fairfax City</v>
      </c>
      <c r="B42" s="2">
        <f>IFERROR(VLOOKUP(A42,'Approved individual amount data'!$A$1:$S$135,2,FALSE),"")</f>
        <v>0</v>
      </c>
      <c r="C42" s="2">
        <f>IFERROR(VLOOKUP(A42,'Approved individual amount data'!$A$1:$S$135,3,FALSE),"")</f>
        <v>0</v>
      </c>
      <c r="D42" s="2">
        <f>IFERROR(VLOOKUP(A42,'Approved individual amount data'!$A$1:$S$135,4,FALSE),"")</f>
        <v>0</v>
      </c>
      <c r="E42" s="2">
        <f>IFERROR(VLOOKUP(A42,'Approved individual amount data'!$A$1:$S$135,5,FALSE),"")</f>
        <v>0</v>
      </c>
      <c r="F42" s="2">
        <f>IFERROR(VLOOKUP(A42,'Approved individual amount data'!$A$1:$S$135,6,FALSE),"")</f>
        <v>0</v>
      </c>
      <c r="G42" s="2">
        <f>IFERROR(VLOOKUP(A42,'Approved individual amount data'!$A$1:$S$135,7,FALSE),"")</f>
        <v>0</v>
      </c>
      <c r="H42" s="2">
        <f>IFERROR(VLOOKUP(A42,'Approved individual amount data'!$A$1:$S$135,8,FALSE),"")</f>
        <v>0</v>
      </c>
      <c r="I42" s="2">
        <f>IFERROR(VLOOKUP(A42,'Approved individual amount data'!$A$1:$S$135,9,FALSE),"")</f>
        <v>0</v>
      </c>
      <c r="J42" s="2">
        <f>IFERROR(VLOOKUP(A42,'Approved individual amount data'!$A$1:$S$135,10,FALSE),"")</f>
        <v>0</v>
      </c>
      <c r="K42" s="2">
        <f>IFERROR(VLOOKUP(A42,'Approved individual amount data'!$A$1:$S$135,11,FALSE),"")</f>
        <v>0</v>
      </c>
      <c r="L42" s="2">
        <f>IFERROR(VLOOKUP(A42,'Approved individual amount data'!$A$1:$S$135,12,FALSE),"")</f>
        <v>0</v>
      </c>
      <c r="M42" s="2">
        <f>IFERROR(VLOOKUP(A42,'Approved individual amount data'!$A$1:$S$135,13,FALSE),"")</f>
        <v>0</v>
      </c>
      <c r="N42" s="2">
        <f>IFERROR(VLOOKUP(A42,'Approved individual amount data'!$A$1:$S$135,14,FALSE),"")</f>
        <v>0</v>
      </c>
      <c r="O42" s="2">
        <f>IFERROR(VLOOKUP(A42,'Approved individual amount data'!$A$1:$S$135,15,FALSE),"")</f>
        <v>0</v>
      </c>
      <c r="P42" s="2">
        <f>IFERROR(VLOOKUP(A42,'Approved individual amount data'!$A$1:$S$135,16,FALSE),"")</f>
        <v>0</v>
      </c>
      <c r="Q42" s="2">
        <f>IFERROR(VLOOKUP(A42,'Approved individual amount data'!$A$1:$S$135,17,FALSE),"")</f>
        <v>0</v>
      </c>
      <c r="R42" s="2">
        <f>IFERROR(VLOOKUP(A42,'Approved individual amount data'!$A$1:$S$135,18,FALSE),"")</f>
        <v>0</v>
      </c>
      <c r="S42" s="2">
        <f>IFERROR(VLOOKUP(A42,'Approved individual amount data'!$A$1:$S$135,19,FALSE),"")</f>
        <v>0</v>
      </c>
    </row>
    <row r="43" spans="1:19" x14ac:dyDescent="0.25">
      <c r="A43" t="str">
        <f>'Local multi year dist'!S43</f>
        <v>Falls Church City</v>
      </c>
      <c r="B43" s="2">
        <f>IFERROR(VLOOKUP(A43,'Approved individual amount data'!$A$1:$S$135,2,FALSE),"")</f>
        <v>0</v>
      </c>
      <c r="C43" s="2">
        <f>IFERROR(VLOOKUP(A43,'Approved individual amount data'!$A$1:$S$135,3,FALSE),"")</f>
        <v>0</v>
      </c>
      <c r="D43" s="2">
        <f>IFERROR(VLOOKUP(A43,'Approved individual amount data'!$A$1:$S$135,4,FALSE),"")</f>
        <v>0</v>
      </c>
      <c r="E43" s="2">
        <f>IFERROR(VLOOKUP(A43,'Approved individual amount data'!$A$1:$S$135,5,FALSE),"")</f>
        <v>0</v>
      </c>
      <c r="F43" s="2">
        <f>IFERROR(VLOOKUP(A43,'Approved individual amount data'!$A$1:$S$135,6,FALSE),"")</f>
        <v>0</v>
      </c>
      <c r="G43" s="2">
        <f>IFERROR(VLOOKUP(A43,'Approved individual amount data'!$A$1:$S$135,7,FALSE),"")</f>
        <v>0</v>
      </c>
      <c r="H43" s="2">
        <f>IFERROR(VLOOKUP(A43,'Approved individual amount data'!$A$1:$S$135,8,FALSE),"")</f>
        <v>0</v>
      </c>
      <c r="I43" s="2">
        <f>IFERROR(VLOOKUP(A43,'Approved individual amount data'!$A$1:$S$135,9,FALSE),"")</f>
        <v>0</v>
      </c>
      <c r="J43" s="2">
        <f>IFERROR(VLOOKUP(A43,'Approved individual amount data'!$A$1:$S$135,10,FALSE),"")</f>
        <v>0</v>
      </c>
      <c r="K43" s="2">
        <f>IFERROR(VLOOKUP(A43,'Approved individual amount data'!$A$1:$S$135,11,FALSE),"")</f>
        <v>0</v>
      </c>
      <c r="L43" s="2">
        <f>IFERROR(VLOOKUP(A43,'Approved individual amount data'!$A$1:$S$135,12,FALSE),"")</f>
        <v>0</v>
      </c>
      <c r="M43" s="2">
        <f>IFERROR(VLOOKUP(A43,'Approved individual amount data'!$A$1:$S$135,13,FALSE),"")</f>
        <v>0</v>
      </c>
      <c r="N43" s="2">
        <f>IFERROR(VLOOKUP(A43,'Approved individual amount data'!$A$1:$S$135,14,FALSE),"")</f>
        <v>0</v>
      </c>
      <c r="O43" s="2">
        <f>IFERROR(VLOOKUP(A43,'Approved individual amount data'!$A$1:$S$135,15,FALSE),"")</f>
        <v>0</v>
      </c>
      <c r="P43" s="2">
        <f>IFERROR(VLOOKUP(A43,'Approved individual amount data'!$A$1:$S$135,16,FALSE),"")</f>
        <v>0</v>
      </c>
      <c r="Q43" s="2">
        <f>IFERROR(VLOOKUP(A43,'Approved individual amount data'!$A$1:$S$135,17,FALSE),"")</f>
        <v>0</v>
      </c>
      <c r="R43" s="2">
        <f>IFERROR(VLOOKUP(A43,'Approved individual amount data'!$A$1:$S$135,18,FALSE),"")</f>
        <v>0</v>
      </c>
      <c r="S43" s="2">
        <f>IFERROR(VLOOKUP(A43,'Approved individual amount data'!$A$1:$S$135,19,FALSE),"")</f>
        <v>0</v>
      </c>
    </row>
    <row r="44" spans="1:19" x14ac:dyDescent="0.25">
      <c r="A44" t="str">
        <f>'Local multi year dist'!S44</f>
        <v>Fauquier County</v>
      </c>
      <c r="B44" s="2">
        <f>IFERROR(VLOOKUP(A44,'Approved individual amount data'!$A$1:$S$135,2,FALSE),"")</f>
        <v>0</v>
      </c>
      <c r="C44" s="2">
        <f>IFERROR(VLOOKUP(A44,'Approved individual amount data'!$A$1:$S$135,3,FALSE),"")</f>
        <v>0</v>
      </c>
      <c r="D44" s="2">
        <f>IFERROR(VLOOKUP(A44,'Approved individual amount data'!$A$1:$S$135,4,FALSE),"")</f>
        <v>0</v>
      </c>
      <c r="E44" s="2">
        <f>IFERROR(VLOOKUP(A44,'Approved individual amount data'!$A$1:$S$135,5,FALSE),"")</f>
        <v>0</v>
      </c>
      <c r="F44" s="2">
        <f>IFERROR(VLOOKUP(A44,'Approved individual amount data'!$A$1:$S$135,6,FALSE),"")</f>
        <v>0</v>
      </c>
      <c r="G44" s="2">
        <f>IFERROR(VLOOKUP(A44,'Approved individual amount data'!$A$1:$S$135,7,FALSE),"")</f>
        <v>0</v>
      </c>
      <c r="H44" s="2">
        <f>IFERROR(VLOOKUP(A44,'Approved individual amount data'!$A$1:$S$135,8,FALSE),"")</f>
        <v>0</v>
      </c>
      <c r="I44" s="2">
        <f>IFERROR(VLOOKUP(A44,'Approved individual amount data'!$A$1:$S$135,9,FALSE),"")</f>
        <v>0</v>
      </c>
      <c r="J44" s="2">
        <f>IFERROR(VLOOKUP(A44,'Approved individual amount data'!$A$1:$S$135,10,FALSE),"")</f>
        <v>0</v>
      </c>
      <c r="K44" s="2">
        <f>IFERROR(VLOOKUP(A44,'Approved individual amount data'!$A$1:$S$135,11,FALSE),"")</f>
        <v>0</v>
      </c>
      <c r="L44" s="2">
        <f>IFERROR(VLOOKUP(A44,'Approved individual amount data'!$A$1:$S$135,12,FALSE),"")</f>
        <v>0</v>
      </c>
      <c r="M44" s="2">
        <f>IFERROR(VLOOKUP(A44,'Approved individual amount data'!$A$1:$S$135,13,FALSE),"")</f>
        <v>0</v>
      </c>
      <c r="N44" s="2">
        <f>IFERROR(VLOOKUP(A44,'Approved individual amount data'!$A$1:$S$135,14,FALSE),"")</f>
        <v>0</v>
      </c>
      <c r="O44" s="2">
        <f>IFERROR(VLOOKUP(A44,'Approved individual amount data'!$A$1:$S$135,15,FALSE),"")</f>
        <v>0</v>
      </c>
      <c r="P44" s="2">
        <f>IFERROR(VLOOKUP(A44,'Approved individual amount data'!$A$1:$S$135,16,FALSE),"")</f>
        <v>0</v>
      </c>
      <c r="Q44" s="2">
        <f>IFERROR(VLOOKUP(A44,'Approved individual amount data'!$A$1:$S$135,17,FALSE),"")</f>
        <v>0</v>
      </c>
      <c r="R44" s="2">
        <f>IFERROR(VLOOKUP(A44,'Approved individual amount data'!$A$1:$S$135,18,FALSE),"")</f>
        <v>0</v>
      </c>
      <c r="S44" s="2">
        <f>IFERROR(VLOOKUP(A44,'Approved individual amount data'!$A$1:$S$135,19,FALSE),"")</f>
        <v>0</v>
      </c>
    </row>
    <row r="45" spans="1:19" x14ac:dyDescent="0.25">
      <c r="A45" t="str">
        <f>'Local multi year dist'!S45</f>
        <v>Floyd County</v>
      </c>
      <c r="B45" s="2">
        <f>IFERROR(VLOOKUP(A45,'Approved individual amount data'!$A$1:$S$135,2,FALSE),"")</f>
        <v>0</v>
      </c>
      <c r="C45" s="2">
        <f>IFERROR(VLOOKUP(A45,'Approved individual amount data'!$A$1:$S$135,3,FALSE),"")</f>
        <v>0</v>
      </c>
      <c r="D45" s="2">
        <f>IFERROR(VLOOKUP(A45,'Approved individual amount data'!$A$1:$S$135,4,FALSE),"")</f>
        <v>19805</v>
      </c>
      <c r="E45" s="2">
        <f>IFERROR(VLOOKUP(A45,'Approved individual amount data'!$A$1:$S$135,5,FALSE),"")</f>
        <v>3570</v>
      </c>
      <c r="F45" s="2">
        <f>IFERROR(VLOOKUP(A45,'Approved individual amount data'!$A$1:$S$135,6,FALSE),"")</f>
        <v>0</v>
      </c>
      <c r="G45" s="2">
        <f>IFERROR(VLOOKUP(A45,'Approved individual amount data'!$A$1:$S$135,7,FALSE),"")</f>
        <v>0</v>
      </c>
      <c r="H45" s="2">
        <f>IFERROR(VLOOKUP(A45,'Approved individual amount data'!$A$1:$S$135,8,FALSE),"")</f>
        <v>0</v>
      </c>
      <c r="I45" s="2">
        <f>IFERROR(VLOOKUP(A45,'Approved individual amount data'!$A$1:$S$135,9,FALSE),"")</f>
        <v>0</v>
      </c>
      <c r="J45" s="2">
        <f>IFERROR(VLOOKUP(A45,'Approved individual amount data'!$A$1:$S$135,10,FALSE),"")</f>
        <v>0</v>
      </c>
      <c r="K45" s="2">
        <f>IFERROR(VLOOKUP(A45,'Approved individual amount data'!$A$1:$S$135,11,FALSE),"")</f>
        <v>0</v>
      </c>
      <c r="L45" s="2">
        <f>IFERROR(VLOOKUP(A45,'Approved individual amount data'!$A$1:$S$135,12,FALSE),"")</f>
        <v>0</v>
      </c>
      <c r="M45" s="2">
        <f>IFERROR(VLOOKUP(A45,'Approved individual amount data'!$A$1:$S$135,13,FALSE),"")</f>
        <v>0</v>
      </c>
      <c r="N45" s="2">
        <f>IFERROR(VLOOKUP(A45,'Approved individual amount data'!$A$1:$S$135,14,FALSE),"")</f>
        <v>0</v>
      </c>
      <c r="O45" s="2">
        <f>IFERROR(VLOOKUP(A45,'Approved individual amount data'!$A$1:$S$135,15,FALSE),"")</f>
        <v>0</v>
      </c>
      <c r="P45" s="2">
        <f>IFERROR(VLOOKUP(A45,'Approved individual amount data'!$A$1:$S$135,16,FALSE),"")</f>
        <v>0</v>
      </c>
      <c r="Q45" s="2">
        <f>IFERROR(VLOOKUP(A45,'Approved individual amount data'!$A$1:$S$135,17,FALSE),"")</f>
        <v>0</v>
      </c>
      <c r="R45" s="2">
        <f>IFERROR(VLOOKUP(A45,'Approved individual amount data'!$A$1:$S$135,18,FALSE),"")</f>
        <v>0</v>
      </c>
      <c r="S45" s="2">
        <f>IFERROR(VLOOKUP(A45,'Approved individual amount data'!$A$1:$S$135,19,FALSE),"")</f>
        <v>0</v>
      </c>
    </row>
    <row r="46" spans="1:19" x14ac:dyDescent="0.25">
      <c r="A46" t="str">
        <f>'Local multi year dist'!S46</f>
        <v>Fluvanna County</v>
      </c>
      <c r="B46" s="2">
        <f>IFERROR(VLOOKUP(A46,'Approved individual amount data'!$A$1:$S$135,2,FALSE),"")</f>
        <v>0</v>
      </c>
      <c r="C46" s="2">
        <f>IFERROR(VLOOKUP(A46,'Approved individual amount data'!$A$1:$S$135,3,FALSE),"")</f>
        <v>0</v>
      </c>
      <c r="D46" s="2">
        <f>IFERROR(VLOOKUP(A46,'Approved individual amount data'!$A$1:$S$135,4,FALSE),"")</f>
        <v>0</v>
      </c>
      <c r="E46" s="2">
        <f>IFERROR(VLOOKUP(A46,'Approved individual amount data'!$A$1:$S$135,5,FALSE),"")</f>
        <v>0</v>
      </c>
      <c r="F46" s="2">
        <f>IFERROR(VLOOKUP(A46,'Approved individual amount data'!$A$1:$S$135,6,FALSE),"")</f>
        <v>0</v>
      </c>
      <c r="G46" s="2">
        <f>IFERROR(VLOOKUP(A46,'Approved individual amount data'!$A$1:$S$135,7,FALSE),"")</f>
        <v>0</v>
      </c>
      <c r="H46" s="2">
        <f>IFERROR(VLOOKUP(A46,'Approved individual amount data'!$A$1:$S$135,8,FALSE),"")</f>
        <v>0</v>
      </c>
      <c r="I46" s="2">
        <f>IFERROR(VLOOKUP(A46,'Approved individual amount data'!$A$1:$S$135,9,FALSE),"")</f>
        <v>0</v>
      </c>
      <c r="J46" s="2">
        <f>IFERROR(VLOOKUP(A46,'Approved individual amount data'!$A$1:$S$135,10,FALSE),"")</f>
        <v>0</v>
      </c>
      <c r="K46" s="2">
        <f>IFERROR(VLOOKUP(A46,'Approved individual amount data'!$A$1:$S$135,11,FALSE),"")</f>
        <v>0</v>
      </c>
      <c r="L46" s="2">
        <f>IFERROR(VLOOKUP(A46,'Approved individual amount data'!$A$1:$S$135,12,FALSE),"")</f>
        <v>0</v>
      </c>
      <c r="M46" s="2">
        <f>IFERROR(VLOOKUP(A46,'Approved individual amount data'!$A$1:$S$135,13,FALSE),"")</f>
        <v>0</v>
      </c>
      <c r="N46" s="2">
        <f>IFERROR(VLOOKUP(A46,'Approved individual amount data'!$A$1:$S$135,14,FALSE),"")</f>
        <v>0</v>
      </c>
      <c r="O46" s="2">
        <f>IFERROR(VLOOKUP(A46,'Approved individual amount data'!$A$1:$S$135,15,FALSE),"")</f>
        <v>0</v>
      </c>
      <c r="P46" s="2">
        <f>IFERROR(VLOOKUP(A46,'Approved individual amount data'!$A$1:$S$135,16,FALSE),"")</f>
        <v>0</v>
      </c>
      <c r="Q46" s="2">
        <f>IFERROR(VLOOKUP(A46,'Approved individual amount data'!$A$1:$S$135,17,FALSE),"")</f>
        <v>0</v>
      </c>
      <c r="R46" s="2">
        <f>IFERROR(VLOOKUP(A46,'Approved individual amount data'!$A$1:$S$135,18,FALSE),"")</f>
        <v>0</v>
      </c>
      <c r="S46" s="2">
        <f>IFERROR(VLOOKUP(A46,'Approved individual amount data'!$A$1:$S$135,19,FALSE),"")</f>
        <v>0</v>
      </c>
    </row>
    <row r="47" spans="1:19" x14ac:dyDescent="0.25">
      <c r="A47" t="str">
        <f>'Local multi year dist'!S47</f>
        <v>Franklin County</v>
      </c>
      <c r="B47" s="2">
        <f>IFERROR(VLOOKUP(A47,'Approved individual amount data'!$A$1:$S$135,2,FALSE),"")</f>
        <v>0</v>
      </c>
      <c r="C47" s="2">
        <f>IFERROR(VLOOKUP(A47,'Approved individual amount data'!$A$1:$S$135,3,FALSE),"")</f>
        <v>0</v>
      </c>
      <c r="D47" s="2">
        <f>IFERROR(VLOOKUP(A47,'Approved individual amount data'!$A$1:$S$135,4,FALSE),"")</f>
        <v>0</v>
      </c>
      <c r="E47" s="2">
        <f>IFERROR(VLOOKUP(A47,'Approved individual amount data'!$A$1:$S$135,5,FALSE),"")</f>
        <v>9204</v>
      </c>
      <c r="F47" s="2">
        <f>IFERROR(VLOOKUP(A47,'Approved individual amount data'!$A$1:$S$135,6,FALSE),"")</f>
        <v>0</v>
      </c>
      <c r="G47" s="2">
        <f>IFERROR(VLOOKUP(A47,'Approved individual amount data'!$A$1:$S$135,7,FALSE),"")</f>
        <v>0</v>
      </c>
      <c r="H47" s="2">
        <f>IFERROR(VLOOKUP(A47,'Approved individual amount data'!$A$1:$S$135,8,FALSE),"")</f>
        <v>0</v>
      </c>
      <c r="I47" s="2">
        <f>IFERROR(VLOOKUP(A47,'Approved individual amount data'!$A$1:$S$135,9,FALSE),"")</f>
        <v>0</v>
      </c>
      <c r="J47" s="2">
        <f>IFERROR(VLOOKUP(A47,'Approved individual amount data'!$A$1:$S$135,10,FALSE),"")</f>
        <v>0</v>
      </c>
      <c r="K47" s="2">
        <f>IFERROR(VLOOKUP(A47,'Approved individual amount data'!$A$1:$S$135,11,FALSE),"")</f>
        <v>0</v>
      </c>
      <c r="L47" s="2">
        <f>IFERROR(VLOOKUP(A47,'Approved individual amount data'!$A$1:$S$135,12,FALSE),"")</f>
        <v>0</v>
      </c>
      <c r="M47" s="2">
        <f>IFERROR(VLOOKUP(A47,'Approved individual amount data'!$A$1:$S$135,13,FALSE),"")</f>
        <v>0</v>
      </c>
      <c r="N47" s="2">
        <f>IFERROR(VLOOKUP(A47,'Approved individual amount data'!$A$1:$S$135,14,FALSE),"")</f>
        <v>0</v>
      </c>
      <c r="O47" s="2">
        <f>IFERROR(VLOOKUP(A47,'Approved individual amount data'!$A$1:$S$135,15,FALSE),"")</f>
        <v>0</v>
      </c>
      <c r="P47" s="2">
        <f>IFERROR(VLOOKUP(A47,'Approved individual amount data'!$A$1:$S$135,16,FALSE),"")</f>
        <v>0</v>
      </c>
      <c r="Q47" s="2">
        <f>IFERROR(VLOOKUP(A47,'Approved individual amount data'!$A$1:$S$135,17,FALSE),"")</f>
        <v>0</v>
      </c>
      <c r="R47" s="2">
        <f>IFERROR(VLOOKUP(A47,'Approved individual amount data'!$A$1:$S$135,18,FALSE),"")</f>
        <v>0</v>
      </c>
      <c r="S47" s="2">
        <f>IFERROR(VLOOKUP(A47,'Approved individual amount data'!$A$1:$S$135,19,FALSE),"")</f>
        <v>0</v>
      </c>
    </row>
    <row r="48" spans="1:19" x14ac:dyDescent="0.25">
      <c r="A48" t="str">
        <f>'Local multi year dist'!S48</f>
        <v>Franklin City</v>
      </c>
      <c r="B48" s="2">
        <f>IFERROR(VLOOKUP(A48,'Approved individual amount data'!$A$1:$S$135,2,FALSE),"")</f>
        <v>0</v>
      </c>
      <c r="C48" s="2">
        <f>IFERROR(VLOOKUP(A48,'Approved individual amount data'!$A$1:$S$135,3,FALSE),"")</f>
        <v>0</v>
      </c>
      <c r="D48" s="2">
        <f>IFERROR(VLOOKUP(A48,'Approved individual amount data'!$A$1:$S$135,4,FALSE),"")</f>
        <v>0</v>
      </c>
      <c r="E48" s="2">
        <f>IFERROR(VLOOKUP(A48,'Approved individual amount data'!$A$1:$S$135,5,FALSE),"")</f>
        <v>0</v>
      </c>
      <c r="F48" s="2">
        <f>IFERROR(VLOOKUP(A48,'Approved individual amount data'!$A$1:$S$135,6,FALSE),"")</f>
        <v>0</v>
      </c>
      <c r="G48" s="2">
        <f>IFERROR(VLOOKUP(A48,'Approved individual amount data'!$A$1:$S$135,7,FALSE),"")</f>
        <v>0</v>
      </c>
      <c r="H48" s="2">
        <f>IFERROR(VLOOKUP(A48,'Approved individual amount data'!$A$1:$S$135,8,FALSE),"")</f>
        <v>0</v>
      </c>
      <c r="I48" s="2">
        <f>IFERROR(VLOOKUP(A48,'Approved individual amount data'!$A$1:$S$135,9,FALSE),"")</f>
        <v>0</v>
      </c>
      <c r="J48" s="2">
        <f>IFERROR(VLOOKUP(A48,'Approved individual amount data'!$A$1:$S$135,10,FALSE),"")</f>
        <v>0</v>
      </c>
      <c r="K48" s="2">
        <f>IFERROR(VLOOKUP(A48,'Approved individual amount data'!$A$1:$S$135,11,FALSE),"")</f>
        <v>0</v>
      </c>
      <c r="L48" s="2">
        <f>IFERROR(VLOOKUP(A48,'Approved individual amount data'!$A$1:$S$135,12,FALSE),"")</f>
        <v>0</v>
      </c>
      <c r="M48" s="2">
        <f>IFERROR(VLOOKUP(A48,'Approved individual amount data'!$A$1:$S$135,13,FALSE),"")</f>
        <v>0</v>
      </c>
      <c r="N48" s="2">
        <f>IFERROR(VLOOKUP(A48,'Approved individual amount data'!$A$1:$S$135,14,FALSE),"")</f>
        <v>0</v>
      </c>
      <c r="O48" s="2">
        <f>IFERROR(VLOOKUP(A48,'Approved individual amount data'!$A$1:$S$135,15,FALSE),"")</f>
        <v>0</v>
      </c>
      <c r="P48" s="2">
        <f>IFERROR(VLOOKUP(A48,'Approved individual amount data'!$A$1:$S$135,16,FALSE),"")</f>
        <v>0</v>
      </c>
      <c r="Q48" s="2">
        <f>IFERROR(VLOOKUP(A48,'Approved individual amount data'!$A$1:$S$135,17,FALSE),"")</f>
        <v>0</v>
      </c>
      <c r="R48" s="2">
        <f>IFERROR(VLOOKUP(A48,'Approved individual amount data'!$A$1:$S$135,18,FALSE),"")</f>
        <v>0</v>
      </c>
      <c r="S48" s="2">
        <f>IFERROR(VLOOKUP(A48,'Approved individual amount data'!$A$1:$S$135,19,FALSE),"")</f>
        <v>0</v>
      </c>
    </row>
    <row r="49" spans="1:19" x14ac:dyDescent="0.25">
      <c r="A49" t="str">
        <f>'Local multi year dist'!S49</f>
        <v>Frederick County</v>
      </c>
      <c r="B49" s="2">
        <f>IFERROR(VLOOKUP(A49,'Approved individual amount data'!$A$1:$S$135,2,FALSE),"")</f>
        <v>0</v>
      </c>
      <c r="C49" s="2">
        <f>IFERROR(VLOOKUP(A49,'Approved individual amount data'!$A$1:$S$135,3,FALSE),"")</f>
        <v>0</v>
      </c>
      <c r="D49" s="2">
        <f>IFERROR(VLOOKUP(A49,'Approved individual amount data'!$A$1:$S$135,4,FALSE),"")</f>
        <v>0</v>
      </c>
      <c r="E49" s="2">
        <f>IFERROR(VLOOKUP(A49,'Approved individual amount data'!$A$1:$S$135,5,FALSE),"")</f>
        <v>0</v>
      </c>
      <c r="F49" s="2">
        <f>IFERROR(VLOOKUP(A49,'Approved individual amount data'!$A$1:$S$135,6,FALSE),"")</f>
        <v>0</v>
      </c>
      <c r="G49" s="2">
        <f>IFERROR(VLOOKUP(A49,'Approved individual amount data'!$A$1:$S$135,7,FALSE),"")</f>
        <v>0</v>
      </c>
      <c r="H49" s="2">
        <f>IFERROR(VLOOKUP(A49,'Approved individual amount data'!$A$1:$S$135,8,FALSE),"")</f>
        <v>0</v>
      </c>
      <c r="I49" s="2">
        <f>IFERROR(VLOOKUP(A49,'Approved individual amount data'!$A$1:$S$135,9,FALSE),"")</f>
        <v>0</v>
      </c>
      <c r="J49" s="2">
        <f>IFERROR(VLOOKUP(A49,'Approved individual amount data'!$A$1:$S$135,10,FALSE),"")</f>
        <v>0</v>
      </c>
      <c r="K49" s="2">
        <f>IFERROR(VLOOKUP(A49,'Approved individual amount data'!$A$1:$S$135,11,FALSE),"")</f>
        <v>0</v>
      </c>
      <c r="L49" s="2">
        <f>IFERROR(VLOOKUP(A49,'Approved individual amount data'!$A$1:$S$135,12,FALSE),"")</f>
        <v>0</v>
      </c>
      <c r="M49" s="2">
        <f>IFERROR(VLOOKUP(A49,'Approved individual amount data'!$A$1:$S$135,13,FALSE),"")</f>
        <v>0</v>
      </c>
      <c r="N49" s="2">
        <f>IFERROR(VLOOKUP(A49,'Approved individual amount data'!$A$1:$S$135,14,FALSE),"")</f>
        <v>0</v>
      </c>
      <c r="O49" s="2">
        <f>IFERROR(VLOOKUP(A49,'Approved individual amount data'!$A$1:$S$135,15,FALSE),"")</f>
        <v>0</v>
      </c>
      <c r="P49" s="2">
        <f>IFERROR(VLOOKUP(A49,'Approved individual amount data'!$A$1:$S$135,16,FALSE),"")</f>
        <v>0</v>
      </c>
      <c r="Q49" s="2">
        <f>IFERROR(VLOOKUP(A49,'Approved individual amount data'!$A$1:$S$135,17,FALSE),"")</f>
        <v>0</v>
      </c>
      <c r="R49" s="2">
        <f>IFERROR(VLOOKUP(A49,'Approved individual amount data'!$A$1:$S$135,18,FALSE),"")</f>
        <v>0</v>
      </c>
      <c r="S49" s="2">
        <f>IFERROR(VLOOKUP(A49,'Approved individual amount data'!$A$1:$S$135,19,FALSE),"")</f>
        <v>0</v>
      </c>
    </row>
    <row r="50" spans="1:19" x14ac:dyDescent="0.25">
      <c r="A50" t="str">
        <f>'Local multi year dist'!S50</f>
        <v>Fredericksburg City</v>
      </c>
      <c r="B50" s="2">
        <f>IFERROR(VLOOKUP(A50,'Approved individual amount data'!$A$1:$S$135,2,FALSE),"")</f>
        <v>0</v>
      </c>
      <c r="C50" s="2">
        <f>IFERROR(VLOOKUP(A50,'Approved individual amount data'!$A$1:$S$135,3,FALSE),"")</f>
        <v>0</v>
      </c>
      <c r="D50" s="2">
        <f>IFERROR(VLOOKUP(A50,'Approved individual amount data'!$A$1:$S$135,4,FALSE),"")</f>
        <v>37050</v>
      </c>
      <c r="E50" s="2">
        <f>IFERROR(VLOOKUP(A50,'Approved individual amount data'!$A$1:$S$135,5,FALSE),"")</f>
        <v>24002</v>
      </c>
      <c r="F50" s="2">
        <f>IFERROR(VLOOKUP(A50,'Approved individual amount data'!$A$1:$S$135,6,FALSE),"")</f>
        <v>0</v>
      </c>
      <c r="G50" s="2">
        <f>IFERROR(VLOOKUP(A50,'Approved individual amount data'!$A$1:$S$135,7,FALSE),"")</f>
        <v>0</v>
      </c>
      <c r="H50" s="2">
        <f>IFERROR(VLOOKUP(A50,'Approved individual amount data'!$A$1:$S$135,8,FALSE),"")</f>
        <v>0</v>
      </c>
      <c r="I50" s="2">
        <f>IFERROR(VLOOKUP(A50,'Approved individual amount data'!$A$1:$S$135,9,FALSE),"")</f>
        <v>0</v>
      </c>
      <c r="J50" s="2">
        <f>IFERROR(VLOOKUP(A50,'Approved individual amount data'!$A$1:$S$135,10,FALSE),"")</f>
        <v>0</v>
      </c>
      <c r="K50" s="2">
        <f>IFERROR(VLOOKUP(A50,'Approved individual amount data'!$A$1:$S$135,11,FALSE),"")</f>
        <v>0</v>
      </c>
      <c r="L50" s="2">
        <f>IFERROR(VLOOKUP(A50,'Approved individual amount data'!$A$1:$S$135,12,FALSE),"")</f>
        <v>0</v>
      </c>
      <c r="M50" s="2">
        <f>IFERROR(VLOOKUP(A50,'Approved individual amount data'!$A$1:$S$135,13,FALSE),"")</f>
        <v>0</v>
      </c>
      <c r="N50" s="2">
        <f>IFERROR(VLOOKUP(A50,'Approved individual amount data'!$A$1:$S$135,14,FALSE),"")</f>
        <v>0</v>
      </c>
      <c r="O50" s="2">
        <f>IFERROR(VLOOKUP(A50,'Approved individual amount data'!$A$1:$S$135,15,FALSE),"")</f>
        <v>0</v>
      </c>
      <c r="P50" s="2">
        <f>IFERROR(VLOOKUP(A50,'Approved individual amount data'!$A$1:$S$135,16,FALSE),"")</f>
        <v>0</v>
      </c>
      <c r="Q50" s="2">
        <f>IFERROR(VLOOKUP(A50,'Approved individual amount data'!$A$1:$S$135,17,FALSE),"")</f>
        <v>0</v>
      </c>
      <c r="R50" s="2">
        <f>IFERROR(VLOOKUP(A50,'Approved individual amount data'!$A$1:$S$135,18,FALSE),"")</f>
        <v>0</v>
      </c>
      <c r="S50" s="2">
        <f>IFERROR(VLOOKUP(A50,'Approved individual amount data'!$A$1:$S$135,19,FALSE),"")</f>
        <v>0</v>
      </c>
    </row>
    <row r="51" spans="1:19" x14ac:dyDescent="0.25">
      <c r="A51" t="str">
        <f>'Local multi year dist'!S51</f>
        <v>Galax City</v>
      </c>
      <c r="B51" s="2">
        <f>IFERROR(VLOOKUP(A51,'Approved individual amount data'!$A$1:$S$135,2,FALSE),"")</f>
        <v>0</v>
      </c>
      <c r="C51" s="2">
        <f>IFERROR(VLOOKUP(A51,'Approved individual amount data'!$A$1:$S$135,3,FALSE),"")</f>
        <v>0</v>
      </c>
      <c r="D51" s="2">
        <f>IFERROR(VLOOKUP(A51,'Approved individual amount data'!$A$1:$S$135,4,FALSE),"")</f>
        <v>15126</v>
      </c>
      <c r="E51" s="2">
        <f>IFERROR(VLOOKUP(A51,'Approved individual amount data'!$A$1:$S$135,5,FALSE),"")</f>
        <v>0</v>
      </c>
      <c r="F51" s="2">
        <f>IFERROR(VLOOKUP(A51,'Approved individual amount data'!$A$1:$S$135,6,FALSE),"")</f>
        <v>0</v>
      </c>
      <c r="G51" s="2">
        <f>IFERROR(VLOOKUP(A51,'Approved individual amount data'!$A$1:$S$135,7,FALSE),"")</f>
        <v>0</v>
      </c>
      <c r="H51" s="2">
        <f>IFERROR(VLOOKUP(A51,'Approved individual amount data'!$A$1:$S$135,8,FALSE),"")</f>
        <v>0</v>
      </c>
      <c r="I51" s="2">
        <f>IFERROR(VLOOKUP(A51,'Approved individual amount data'!$A$1:$S$135,9,FALSE),"")</f>
        <v>0</v>
      </c>
      <c r="J51" s="2">
        <f>IFERROR(VLOOKUP(A51,'Approved individual amount data'!$A$1:$S$135,10,FALSE),"")</f>
        <v>0</v>
      </c>
      <c r="K51" s="2">
        <f>IFERROR(VLOOKUP(A51,'Approved individual amount data'!$A$1:$S$135,11,FALSE),"")</f>
        <v>0</v>
      </c>
      <c r="L51" s="2">
        <f>IFERROR(VLOOKUP(A51,'Approved individual amount data'!$A$1:$S$135,12,FALSE),"")</f>
        <v>0</v>
      </c>
      <c r="M51" s="2">
        <f>IFERROR(VLOOKUP(A51,'Approved individual amount data'!$A$1:$S$135,13,FALSE),"")</f>
        <v>0</v>
      </c>
      <c r="N51" s="2">
        <f>IFERROR(VLOOKUP(A51,'Approved individual amount data'!$A$1:$S$135,14,FALSE),"")</f>
        <v>0</v>
      </c>
      <c r="O51" s="2">
        <f>IFERROR(VLOOKUP(A51,'Approved individual amount data'!$A$1:$S$135,15,FALSE),"")</f>
        <v>0</v>
      </c>
      <c r="P51" s="2">
        <f>IFERROR(VLOOKUP(A51,'Approved individual amount data'!$A$1:$S$135,16,FALSE),"")</f>
        <v>0</v>
      </c>
      <c r="Q51" s="2">
        <f>IFERROR(VLOOKUP(A51,'Approved individual amount data'!$A$1:$S$135,17,FALSE),"")</f>
        <v>0</v>
      </c>
      <c r="R51" s="2">
        <f>IFERROR(VLOOKUP(A51,'Approved individual amount data'!$A$1:$S$135,18,FALSE),"")</f>
        <v>0</v>
      </c>
      <c r="S51" s="2">
        <f>IFERROR(VLOOKUP(A51,'Approved individual amount data'!$A$1:$S$135,19,FALSE),"")</f>
        <v>0</v>
      </c>
    </row>
    <row r="52" spans="1:19" x14ac:dyDescent="0.25">
      <c r="A52" t="str">
        <f>'Local multi year dist'!S52</f>
        <v>Giles County</v>
      </c>
      <c r="B52" s="2">
        <f>IFERROR(VLOOKUP(A52,'Approved individual amount data'!$A$1:$S$135,2,FALSE),"")</f>
        <v>0</v>
      </c>
      <c r="C52" s="2">
        <f>IFERROR(VLOOKUP(A52,'Approved individual amount data'!$A$1:$S$135,3,FALSE),"")</f>
        <v>0</v>
      </c>
      <c r="D52" s="2">
        <f>IFERROR(VLOOKUP(A52,'Approved individual amount data'!$A$1:$S$135,4,FALSE),"")</f>
        <v>44507</v>
      </c>
      <c r="E52" s="2">
        <f>IFERROR(VLOOKUP(A52,'Approved individual amount data'!$A$1:$S$135,5,FALSE),"")</f>
        <v>8022</v>
      </c>
      <c r="F52" s="2">
        <f>IFERROR(VLOOKUP(A52,'Approved individual amount data'!$A$1:$S$135,6,FALSE),"")</f>
        <v>0</v>
      </c>
      <c r="G52" s="2">
        <f>IFERROR(VLOOKUP(A52,'Approved individual amount data'!$A$1:$S$135,7,FALSE),"")</f>
        <v>0</v>
      </c>
      <c r="H52" s="2">
        <f>IFERROR(VLOOKUP(A52,'Approved individual amount data'!$A$1:$S$135,8,FALSE),"")</f>
        <v>0</v>
      </c>
      <c r="I52" s="2">
        <f>IFERROR(VLOOKUP(A52,'Approved individual amount data'!$A$1:$S$135,9,FALSE),"")</f>
        <v>0</v>
      </c>
      <c r="J52" s="2">
        <f>IFERROR(VLOOKUP(A52,'Approved individual amount data'!$A$1:$S$135,10,FALSE),"")</f>
        <v>0</v>
      </c>
      <c r="K52" s="2">
        <f>IFERROR(VLOOKUP(A52,'Approved individual amount data'!$A$1:$S$135,11,FALSE),"")</f>
        <v>0</v>
      </c>
      <c r="L52" s="2">
        <f>IFERROR(VLOOKUP(A52,'Approved individual amount data'!$A$1:$S$135,12,FALSE),"")</f>
        <v>0</v>
      </c>
      <c r="M52" s="2">
        <f>IFERROR(VLOOKUP(A52,'Approved individual amount data'!$A$1:$S$135,13,FALSE),"")</f>
        <v>0</v>
      </c>
      <c r="N52" s="2">
        <f>IFERROR(VLOOKUP(A52,'Approved individual amount data'!$A$1:$S$135,14,FALSE),"")</f>
        <v>0</v>
      </c>
      <c r="O52" s="2">
        <f>IFERROR(VLOOKUP(A52,'Approved individual amount data'!$A$1:$S$135,15,FALSE),"")</f>
        <v>0</v>
      </c>
      <c r="P52" s="2">
        <f>IFERROR(VLOOKUP(A52,'Approved individual amount data'!$A$1:$S$135,16,FALSE),"")</f>
        <v>0</v>
      </c>
      <c r="Q52" s="2">
        <f>IFERROR(VLOOKUP(A52,'Approved individual amount data'!$A$1:$S$135,17,FALSE),"")</f>
        <v>0</v>
      </c>
      <c r="R52" s="2">
        <f>IFERROR(VLOOKUP(A52,'Approved individual amount data'!$A$1:$S$135,18,FALSE),"")</f>
        <v>0</v>
      </c>
      <c r="S52" s="2">
        <f>IFERROR(VLOOKUP(A52,'Approved individual amount data'!$A$1:$S$135,19,FALSE),"")</f>
        <v>0</v>
      </c>
    </row>
    <row r="53" spans="1:19" x14ac:dyDescent="0.25">
      <c r="A53" t="str">
        <f>'Local multi year dist'!S53</f>
        <v>Gloucester County</v>
      </c>
      <c r="B53" s="2">
        <f>IFERROR(VLOOKUP(A53,'Approved individual amount data'!$A$1:$S$135,2,FALSE),"")</f>
        <v>0</v>
      </c>
      <c r="C53" s="2">
        <f>IFERROR(VLOOKUP(A53,'Approved individual amount data'!$A$1:$S$135,3,FALSE),"")</f>
        <v>0</v>
      </c>
      <c r="D53" s="2">
        <f>IFERROR(VLOOKUP(A53,'Approved individual amount data'!$A$1:$S$135,4,FALSE),"")</f>
        <v>0</v>
      </c>
      <c r="E53" s="2">
        <f>IFERROR(VLOOKUP(A53,'Approved individual amount data'!$A$1:$S$135,5,FALSE),"")</f>
        <v>67717</v>
      </c>
      <c r="F53" s="2">
        <f>IFERROR(VLOOKUP(A53,'Approved individual amount data'!$A$1:$S$135,6,FALSE),"")</f>
        <v>0</v>
      </c>
      <c r="G53" s="2">
        <f>IFERROR(VLOOKUP(A53,'Approved individual amount data'!$A$1:$S$135,7,FALSE),"")</f>
        <v>0</v>
      </c>
      <c r="H53" s="2">
        <f>IFERROR(VLOOKUP(A53,'Approved individual amount data'!$A$1:$S$135,8,FALSE),"")</f>
        <v>0</v>
      </c>
      <c r="I53" s="2">
        <f>IFERROR(VLOOKUP(A53,'Approved individual amount data'!$A$1:$S$135,9,FALSE),"")</f>
        <v>0</v>
      </c>
      <c r="J53" s="2">
        <f>IFERROR(VLOOKUP(A53,'Approved individual amount data'!$A$1:$S$135,10,FALSE),"")</f>
        <v>0</v>
      </c>
      <c r="K53" s="2">
        <f>IFERROR(VLOOKUP(A53,'Approved individual amount data'!$A$1:$S$135,11,FALSE),"")</f>
        <v>0</v>
      </c>
      <c r="L53" s="2">
        <f>IFERROR(VLOOKUP(A53,'Approved individual amount data'!$A$1:$S$135,12,FALSE),"")</f>
        <v>0</v>
      </c>
      <c r="M53" s="2">
        <f>IFERROR(VLOOKUP(A53,'Approved individual amount data'!$A$1:$S$135,13,FALSE),"")</f>
        <v>0</v>
      </c>
      <c r="N53" s="2">
        <f>IFERROR(VLOOKUP(A53,'Approved individual amount data'!$A$1:$S$135,14,FALSE),"")</f>
        <v>0</v>
      </c>
      <c r="O53" s="2">
        <f>IFERROR(VLOOKUP(A53,'Approved individual amount data'!$A$1:$S$135,15,FALSE),"")</f>
        <v>0</v>
      </c>
      <c r="P53" s="2">
        <f>IFERROR(VLOOKUP(A53,'Approved individual amount data'!$A$1:$S$135,16,FALSE),"")</f>
        <v>0</v>
      </c>
      <c r="Q53" s="2">
        <f>IFERROR(VLOOKUP(A53,'Approved individual amount data'!$A$1:$S$135,17,FALSE),"")</f>
        <v>0</v>
      </c>
      <c r="R53" s="2">
        <f>IFERROR(VLOOKUP(A53,'Approved individual amount data'!$A$1:$S$135,18,FALSE),"")</f>
        <v>0</v>
      </c>
      <c r="S53" s="2">
        <f>IFERROR(VLOOKUP(A53,'Approved individual amount data'!$A$1:$S$135,19,FALSE),"")</f>
        <v>0</v>
      </c>
    </row>
    <row r="54" spans="1:19" x14ac:dyDescent="0.25">
      <c r="A54" t="str">
        <f>'Local multi year dist'!S54</f>
        <v>Goochland County</v>
      </c>
      <c r="B54" s="2">
        <f>IFERROR(VLOOKUP(A54,'Approved individual amount data'!$A$1:$S$135,2,FALSE),"")</f>
        <v>0</v>
      </c>
      <c r="C54" s="2">
        <f>IFERROR(VLOOKUP(A54,'Approved individual amount data'!$A$1:$S$135,3,FALSE),"")</f>
        <v>0</v>
      </c>
      <c r="D54" s="2">
        <f>IFERROR(VLOOKUP(A54,'Approved individual amount data'!$A$1:$S$135,4,FALSE),"")</f>
        <v>0</v>
      </c>
      <c r="E54" s="2">
        <f>IFERROR(VLOOKUP(A54,'Approved individual amount data'!$A$1:$S$135,5,FALSE),"")</f>
        <v>0</v>
      </c>
      <c r="F54" s="2">
        <f>IFERROR(VLOOKUP(A54,'Approved individual amount data'!$A$1:$S$135,6,FALSE),"")</f>
        <v>0</v>
      </c>
      <c r="G54" s="2">
        <f>IFERROR(VLOOKUP(A54,'Approved individual amount data'!$A$1:$S$135,7,FALSE),"")</f>
        <v>0</v>
      </c>
      <c r="H54" s="2">
        <f>IFERROR(VLOOKUP(A54,'Approved individual amount data'!$A$1:$S$135,8,FALSE),"")</f>
        <v>0</v>
      </c>
      <c r="I54" s="2">
        <f>IFERROR(VLOOKUP(A54,'Approved individual amount data'!$A$1:$S$135,9,FALSE),"")</f>
        <v>0</v>
      </c>
      <c r="J54" s="2">
        <f>IFERROR(VLOOKUP(A54,'Approved individual amount data'!$A$1:$S$135,10,FALSE),"")</f>
        <v>0</v>
      </c>
      <c r="K54" s="2">
        <f>IFERROR(VLOOKUP(A54,'Approved individual amount data'!$A$1:$S$135,11,FALSE),"")</f>
        <v>0</v>
      </c>
      <c r="L54" s="2">
        <f>IFERROR(VLOOKUP(A54,'Approved individual amount data'!$A$1:$S$135,12,FALSE),"")</f>
        <v>0</v>
      </c>
      <c r="M54" s="2">
        <f>IFERROR(VLOOKUP(A54,'Approved individual amount data'!$A$1:$S$135,13,FALSE),"")</f>
        <v>0</v>
      </c>
      <c r="N54" s="2">
        <f>IFERROR(VLOOKUP(A54,'Approved individual amount data'!$A$1:$S$135,14,FALSE),"")</f>
        <v>0</v>
      </c>
      <c r="O54" s="2">
        <f>IFERROR(VLOOKUP(A54,'Approved individual amount data'!$A$1:$S$135,15,FALSE),"")</f>
        <v>0</v>
      </c>
      <c r="P54" s="2">
        <f>IFERROR(VLOOKUP(A54,'Approved individual amount data'!$A$1:$S$135,16,FALSE),"")</f>
        <v>0</v>
      </c>
      <c r="Q54" s="2">
        <f>IFERROR(VLOOKUP(A54,'Approved individual amount data'!$A$1:$S$135,17,FALSE),"")</f>
        <v>0</v>
      </c>
      <c r="R54" s="2">
        <f>IFERROR(VLOOKUP(A54,'Approved individual amount data'!$A$1:$S$135,18,FALSE),"")</f>
        <v>0</v>
      </c>
      <c r="S54" s="2">
        <f>IFERROR(VLOOKUP(A54,'Approved individual amount data'!$A$1:$S$135,19,FALSE),"")</f>
        <v>0</v>
      </c>
    </row>
    <row r="55" spans="1:19" x14ac:dyDescent="0.25">
      <c r="A55" t="str">
        <f>'Local multi year dist'!S55</f>
        <v>Grayson County</v>
      </c>
      <c r="B55" s="2">
        <f>IFERROR(VLOOKUP(A55,'Approved individual amount data'!$A$1:$S$135,2,FALSE),"")</f>
        <v>0</v>
      </c>
      <c r="C55" s="2">
        <f>IFERROR(VLOOKUP(A55,'Approved individual amount data'!$A$1:$S$135,3,FALSE),"")</f>
        <v>0</v>
      </c>
      <c r="D55" s="2">
        <f>IFERROR(VLOOKUP(A55,'Approved individual amount data'!$A$1:$S$135,4,FALSE),"")</f>
        <v>0</v>
      </c>
      <c r="E55" s="2">
        <f>IFERROR(VLOOKUP(A55,'Approved individual amount data'!$A$1:$S$135,5,FALSE),"")</f>
        <v>0</v>
      </c>
      <c r="F55" s="2">
        <f>IFERROR(VLOOKUP(A55,'Approved individual amount data'!$A$1:$S$135,6,FALSE),"")</f>
        <v>0</v>
      </c>
      <c r="G55" s="2">
        <f>IFERROR(VLOOKUP(A55,'Approved individual amount data'!$A$1:$S$135,7,FALSE),"")</f>
        <v>0</v>
      </c>
      <c r="H55" s="2">
        <f>IFERROR(VLOOKUP(A55,'Approved individual amount data'!$A$1:$S$135,8,FALSE),"")</f>
        <v>0</v>
      </c>
      <c r="I55" s="2">
        <f>IFERROR(VLOOKUP(A55,'Approved individual amount data'!$A$1:$S$135,9,FALSE),"")</f>
        <v>0</v>
      </c>
      <c r="J55" s="2">
        <f>IFERROR(VLOOKUP(A55,'Approved individual amount data'!$A$1:$S$135,10,FALSE),"")</f>
        <v>0</v>
      </c>
      <c r="K55" s="2">
        <f>IFERROR(VLOOKUP(A55,'Approved individual amount data'!$A$1:$S$135,11,FALSE),"")</f>
        <v>0</v>
      </c>
      <c r="L55" s="2">
        <f>IFERROR(VLOOKUP(A55,'Approved individual amount data'!$A$1:$S$135,12,FALSE),"")</f>
        <v>0</v>
      </c>
      <c r="M55" s="2">
        <f>IFERROR(VLOOKUP(A55,'Approved individual amount data'!$A$1:$S$135,13,FALSE),"")</f>
        <v>0</v>
      </c>
      <c r="N55" s="2">
        <f>IFERROR(VLOOKUP(A55,'Approved individual amount data'!$A$1:$S$135,14,FALSE),"")</f>
        <v>0</v>
      </c>
      <c r="O55" s="2">
        <f>IFERROR(VLOOKUP(A55,'Approved individual amount data'!$A$1:$S$135,15,FALSE),"")</f>
        <v>0</v>
      </c>
      <c r="P55" s="2">
        <f>IFERROR(VLOOKUP(A55,'Approved individual amount data'!$A$1:$S$135,16,FALSE),"")</f>
        <v>0</v>
      </c>
      <c r="Q55" s="2">
        <f>IFERROR(VLOOKUP(A55,'Approved individual amount data'!$A$1:$S$135,17,FALSE),"")</f>
        <v>0</v>
      </c>
      <c r="R55" s="2">
        <f>IFERROR(VLOOKUP(A55,'Approved individual amount data'!$A$1:$S$135,18,FALSE),"")</f>
        <v>0</v>
      </c>
      <c r="S55" s="2">
        <f>IFERROR(VLOOKUP(A55,'Approved individual amount data'!$A$1:$S$135,19,FALSE),"")</f>
        <v>0</v>
      </c>
    </row>
    <row r="56" spans="1:19" x14ac:dyDescent="0.25">
      <c r="A56" t="str">
        <f>'Local multi year dist'!S56</f>
        <v>Greene County</v>
      </c>
      <c r="B56" s="2">
        <f>IFERROR(VLOOKUP(A56,'Approved individual amount data'!$A$1:$S$135,2,FALSE),"")</f>
        <v>0</v>
      </c>
      <c r="C56" s="2">
        <f>IFERROR(VLOOKUP(A56,'Approved individual amount data'!$A$1:$S$135,3,FALSE),"")</f>
        <v>0</v>
      </c>
      <c r="D56" s="2">
        <f>IFERROR(VLOOKUP(A56,'Approved individual amount data'!$A$1:$S$135,4,FALSE),"")</f>
        <v>0</v>
      </c>
      <c r="E56" s="2">
        <f>IFERROR(VLOOKUP(A56,'Approved individual amount data'!$A$1:$S$135,5,FALSE),"")</f>
        <v>0</v>
      </c>
      <c r="F56" s="2">
        <f>IFERROR(VLOOKUP(A56,'Approved individual amount data'!$A$1:$S$135,6,FALSE),"")</f>
        <v>0</v>
      </c>
      <c r="G56" s="2">
        <f>IFERROR(VLOOKUP(A56,'Approved individual amount data'!$A$1:$S$135,7,FALSE),"")</f>
        <v>0</v>
      </c>
      <c r="H56" s="2">
        <f>IFERROR(VLOOKUP(A56,'Approved individual amount data'!$A$1:$S$135,8,FALSE),"")</f>
        <v>0</v>
      </c>
      <c r="I56" s="2">
        <f>IFERROR(VLOOKUP(A56,'Approved individual amount data'!$A$1:$S$135,9,FALSE),"")</f>
        <v>0</v>
      </c>
      <c r="J56" s="2">
        <f>IFERROR(VLOOKUP(A56,'Approved individual amount data'!$A$1:$S$135,10,FALSE),"")</f>
        <v>0</v>
      </c>
      <c r="K56" s="2">
        <f>IFERROR(VLOOKUP(A56,'Approved individual amount data'!$A$1:$S$135,11,FALSE),"")</f>
        <v>0</v>
      </c>
      <c r="L56" s="2">
        <f>IFERROR(VLOOKUP(A56,'Approved individual amount data'!$A$1:$S$135,12,FALSE),"")</f>
        <v>0</v>
      </c>
      <c r="M56" s="2">
        <f>IFERROR(VLOOKUP(A56,'Approved individual amount data'!$A$1:$S$135,13,FALSE),"")</f>
        <v>0</v>
      </c>
      <c r="N56" s="2">
        <f>IFERROR(VLOOKUP(A56,'Approved individual amount data'!$A$1:$S$135,14,FALSE),"")</f>
        <v>0</v>
      </c>
      <c r="O56" s="2">
        <f>IFERROR(VLOOKUP(A56,'Approved individual amount data'!$A$1:$S$135,15,FALSE),"")</f>
        <v>0</v>
      </c>
      <c r="P56" s="2">
        <f>IFERROR(VLOOKUP(A56,'Approved individual amount data'!$A$1:$S$135,16,FALSE),"")</f>
        <v>0</v>
      </c>
      <c r="Q56" s="2">
        <f>IFERROR(VLOOKUP(A56,'Approved individual amount data'!$A$1:$S$135,17,FALSE),"")</f>
        <v>0</v>
      </c>
      <c r="R56" s="2">
        <f>IFERROR(VLOOKUP(A56,'Approved individual amount data'!$A$1:$S$135,18,FALSE),"")</f>
        <v>0</v>
      </c>
      <c r="S56" s="2">
        <f>IFERROR(VLOOKUP(A56,'Approved individual amount data'!$A$1:$S$135,19,FALSE),"")</f>
        <v>0</v>
      </c>
    </row>
    <row r="57" spans="1:19" x14ac:dyDescent="0.25">
      <c r="A57" t="str">
        <f>'Local multi year dist'!S57</f>
        <v>Greensville County</v>
      </c>
      <c r="B57" s="2">
        <f>IFERROR(VLOOKUP(A57,'Approved individual amount data'!$A$1:$S$135,2,FALSE),"")</f>
        <v>0</v>
      </c>
      <c r="C57" s="2">
        <f>IFERROR(VLOOKUP(A57,'Approved individual amount data'!$A$1:$S$135,3,FALSE),"")</f>
        <v>0</v>
      </c>
      <c r="D57" s="2">
        <f>IFERROR(VLOOKUP(A57,'Approved individual amount data'!$A$1:$S$135,4,FALSE),"")</f>
        <v>0</v>
      </c>
      <c r="E57" s="2">
        <f>IFERROR(VLOOKUP(A57,'Approved individual amount data'!$A$1:$S$135,5,FALSE),"")</f>
        <v>0</v>
      </c>
      <c r="F57" s="2">
        <f>IFERROR(VLOOKUP(A57,'Approved individual amount data'!$A$1:$S$135,6,FALSE),"")</f>
        <v>0</v>
      </c>
      <c r="G57" s="2">
        <f>IFERROR(VLOOKUP(A57,'Approved individual amount data'!$A$1:$S$135,7,FALSE),"")</f>
        <v>0</v>
      </c>
      <c r="H57" s="2">
        <f>IFERROR(VLOOKUP(A57,'Approved individual amount data'!$A$1:$S$135,8,FALSE),"")</f>
        <v>0</v>
      </c>
      <c r="I57" s="2">
        <f>IFERROR(VLOOKUP(A57,'Approved individual amount data'!$A$1:$S$135,9,FALSE),"")</f>
        <v>0</v>
      </c>
      <c r="J57" s="2">
        <f>IFERROR(VLOOKUP(A57,'Approved individual amount data'!$A$1:$S$135,10,FALSE),"")</f>
        <v>0</v>
      </c>
      <c r="K57" s="2">
        <f>IFERROR(VLOOKUP(A57,'Approved individual amount data'!$A$1:$S$135,11,FALSE),"")</f>
        <v>0</v>
      </c>
      <c r="L57" s="2">
        <f>IFERROR(VLOOKUP(A57,'Approved individual amount data'!$A$1:$S$135,12,FALSE),"")</f>
        <v>0</v>
      </c>
      <c r="M57" s="2">
        <f>IFERROR(VLOOKUP(A57,'Approved individual amount data'!$A$1:$S$135,13,FALSE),"")</f>
        <v>0</v>
      </c>
      <c r="N57" s="2">
        <f>IFERROR(VLOOKUP(A57,'Approved individual amount data'!$A$1:$S$135,14,FALSE),"")</f>
        <v>0</v>
      </c>
      <c r="O57" s="2">
        <f>IFERROR(VLOOKUP(A57,'Approved individual amount data'!$A$1:$S$135,15,FALSE),"")</f>
        <v>0</v>
      </c>
      <c r="P57" s="2">
        <f>IFERROR(VLOOKUP(A57,'Approved individual amount data'!$A$1:$S$135,16,FALSE),"")</f>
        <v>0</v>
      </c>
      <c r="Q57" s="2">
        <f>IFERROR(VLOOKUP(A57,'Approved individual amount data'!$A$1:$S$135,17,FALSE),"")</f>
        <v>0</v>
      </c>
      <c r="R57" s="2">
        <f>IFERROR(VLOOKUP(A57,'Approved individual amount data'!$A$1:$S$135,18,FALSE),"")</f>
        <v>0</v>
      </c>
      <c r="S57" s="2">
        <f>IFERROR(VLOOKUP(A57,'Approved individual amount data'!$A$1:$S$135,19,FALSE),"")</f>
        <v>0</v>
      </c>
    </row>
    <row r="58" spans="1:19" x14ac:dyDescent="0.25">
      <c r="A58" t="str">
        <f>'Local multi year dist'!S58</f>
        <v>Halifax County</v>
      </c>
      <c r="B58" s="2">
        <f>IFERROR(VLOOKUP(A58,'Approved individual amount data'!$A$1:$S$135,2,FALSE),"")</f>
        <v>0</v>
      </c>
      <c r="C58" s="2">
        <f>IFERROR(VLOOKUP(A58,'Approved individual amount data'!$A$1:$S$135,3,FALSE),"")</f>
        <v>0</v>
      </c>
      <c r="D58" s="2">
        <f>IFERROR(VLOOKUP(A58,'Approved individual amount data'!$A$1:$S$135,4,FALSE),"")</f>
        <v>0</v>
      </c>
      <c r="E58" s="2">
        <f>IFERROR(VLOOKUP(A58,'Approved individual amount data'!$A$1:$S$135,5,FALSE),"")</f>
        <v>0</v>
      </c>
      <c r="F58" s="2">
        <f>IFERROR(VLOOKUP(A58,'Approved individual amount data'!$A$1:$S$135,6,FALSE),"")</f>
        <v>0</v>
      </c>
      <c r="G58" s="2">
        <f>IFERROR(VLOOKUP(A58,'Approved individual amount data'!$A$1:$S$135,7,FALSE),"")</f>
        <v>0</v>
      </c>
      <c r="H58" s="2">
        <f>IFERROR(VLOOKUP(A58,'Approved individual amount data'!$A$1:$S$135,8,FALSE),"")</f>
        <v>0</v>
      </c>
      <c r="I58" s="2">
        <f>IFERROR(VLOOKUP(A58,'Approved individual amount data'!$A$1:$S$135,9,FALSE),"")</f>
        <v>0</v>
      </c>
      <c r="J58" s="2">
        <f>IFERROR(VLOOKUP(A58,'Approved individual amount data'!$A$1:$S$135,10,FALSE),"")</f>
        <v>0</v>
      </c>
      <c r="K58" s="2">
        <f>IFERROR(VLOOKUP(A58,'Approved individual amount data'!$A$1:$S$135,11,FALSE),"")</f>
        <v>0</v>
      </c>
      <c r="L58" s="2">
        <f>IFERROR(VLOOKUP(A58,'Approved individual amount data'!$A$1:$S$135,12,FALSE),"")</f>
        <v>0</v>
      </c>
      <c r="M58" s="2">
        <f>IFERROR(VLOOKUP(A58,'Approved individual amount data'!$A$1:$S$135,13,FALSE),"")</f>
        <v>0</v>
      </c>
      <c r="N58" s="2">
        <f>IFERROR(VLOOKUP(A58,'Approved individual amount data'!$A$1:$S$135,14,FALSE),"")</f>
        <v>0</v>
      </c>
      <c r="O58" s="2">
        <f>IFERROR(VLOOKUP(A58,'Approved individual amount data'!$A$1:$S$135,15,FALSE),"")</f>
        <v>0</v>
      </c>
      <c r="P58" s="2">
        <f>IFERROR(VLOOKUP(A58,'Approved individual amount data'!$A$1:$S$135,16,FALSE),"")</f>
        <v>0</v>
      </c>
      <c r="Q58" s="2">
        <f>IFERROR(VLOOKUP(A58,'Approved individual amount data'!$A$1:$S$135,17,FALSE),"")</f>
        <v>0</v>
      </c>
      <c r="R58" s="2">
        <f>IFERROR(VLOOKUP(A58,'Approved individual amount data'!$A$1:$S$135,18,FALSE),"")</f>
        <v>0</v>
      </c>
      <c r="S58" s="2">
        <f>IFERROR(VLOOKUP(A58,'Approved individual amount data'!$A$1:$S$135,19,FALSE),"")</f>
        <v>0</v>
      </c>
    </row>
    <row r="59" spans="1:19" x14ac:dyDescent="0.25">
      <c r="A59" t="str">
        <f>'Local multi year dist'!S59</f>
        <v>Hampton City</v>
      </c>
      <c r="B59" s="2">
        <f>IFERROR(VLOOKUP(A59,'Approved individual amount data'!$A$1:$S$135,2,FALSE),"")</f>
        <v>0</v>
      </c>
      <c r="C59" s="2">
        <f>IFERROR(VLOOKUP(A59,'Approved individual amount data'!$A$1:$S$135,3,FALSE),"")</f>
        <v>0</v>
      </c>
      <c r="D59" s="2">
        <f>IFERROR(VLOOKUP(A59,'Approved individual amount data'!$A$1:$S$135,4,FALSE),"")</f>
        <v>0</v>
      </c>
      <c r="E59" s="2">
        <f>IFERROR(VLOOKUP(A59,'Approved individual amount data'!$A$1:$S$135,5,FALSE),"")</f>
        <v>185078</v>
      </c>
      <c r="F59" s="2">
        <f>IFERROR(VLOOKUP(A59,'Approved individual amount data'!$A$1:$S$135,6,FALSE),"")</f>
        <v>0</v>
      </c>
      <c r="G59" s="2">
        <f>IFERROR(VLOOKUP(A59,'Approved individual amount data'!$A$1:$S$135,7,FALSE),"")</f>
        <v>0</v>
      </c>
      <c r="H59" s="2">
        <f>IFERROR(VLOOKUP(A59,'Approved individual amount data'!$A$1:$S$135,8,FALSE),"")</f>
        <v>0</v>
      </c>
      <c r="I59" s="2">
        <f>IFERROR(VLOOKUP(A59,'Approved individual amount data'!$A$1:$S$135,9,FALSE),"")</f>
        <v>0</v>
      </c>
      <c r="J59" s="2">
        <f>IFERROR(VLOOKUP(A59,'Approved individual amount data'!$A$1:$S$135,10,FALSE),"")</f>
        <v>0</v>
      </c>
      <c r="K59" s="2">
        <f>IFERROR(VLOOKUP(A59,'Approved individual amount data'!$A$1:$S$135,11,FALSE),"")</f>
        <v>0</v>
      </c>
      <c r="L59" s="2">
        <f>IFERROR(VLOOKUP(A59,'Approved individual amount data'!$A$1:$S$135,12,FALSE),"")</f>
        <v>0</v>
      </c>
      <c r="M59" s="2">
        <f>IFERROR(VLOOKUP(A59,'Approved individual amount data'!$A$1:$S$135,13,FALSE),"")</f>
        <v>0</v>
      </c>
      <c r="N59" s="2">
        <f>IFERROR(VLOOKUP(A59,'Approved individual amount data'!$A$1:$S$135,14,FALSE),"")</f>
        <v>0</v>
      </c>
      <c r="O59" s="2">
        <f>IFERROR(VLOOKUP(A59,'Approved individual amount data'!$A$1:$S$135,15,FALSE),"")</f>
        <v>0</v>
      </c>
      <c r="P59" s="2">
        <f>IFERROR(VLOOKUP(A59,'Approved individual amount data'!$A$1:$S$135,16,FALSE),"")</f>
        <v>0</v>
      </c>
      <c r="Q59" s="2">
        <f>IFERROR(VLOOKUP(A59,'Approved individual amount data'!$A$1:$S$135,17,FALSE),"")</f>
        <v>0</v>
      </c>
      <c r="R59" s="2">
        <f>IFERROR(VLOOKUP(A59,'Approved individual amount data'!$A$1:$S$135,18,FALSE),"")</f>
        <v>0</v>
      </c>
      <c r="S59" s="2">
        <f>IFERROR(VLOOKUP(A59,'Approved individual amount data'!$A$1:$S$135,19,FALSE),"")</f>
        <v>0</v>
      </c>
    </row>
    <row r="60" spans="1:19" x14ac:dyDescent="0.25">
      <c r="A60" t="str">
        <f>'Local multi year dist'!S60</f>
        <v>Hanover County</v>
      </c>
      <c r="B60" s="2">
        <f>IFERROR(VLOOKUP(A60,'Approved individual amount data'!$A$1:$S$135,2,FALSE),"")</f>
        <v>0</v>
      </c>
      <c r="C60" s="2">
        <f>IFERROR(VLOOKUP(A60,'Approved individual amount data'!$A$1:$S$135,3,FALSE),"")</f>
        <v>0</v>
      </c>
      <c r="D60" s="2">
        <f>IFERROR(VLOOKUP(A60,'Approved individual amount data'!$A$1:$S$135,4,FALSE),"")</f>
        <v>9642</v>
      </c>
      <c r="E60" s="2">
        <f>IFERROR(VLOOKUP(A60,'Approved individual amount data'!$A$1:$S$135,5,FALSE),"")</f>
        <v>3000</v>
      </c>
      <c r="F60" s="2">
        <f>IFERROR(VLOOKUP(A60,'Approved individual amount data'!$A$1:$S$135,6,FALSE),"")</f>
        <v>0</v>
      </c>
      <c r="G60" s="2">
        <f>IFERROR(VLOOKUP(A60,'Approved individual amount data'!$A$1:$S$135,7,FALSE),"")</f>
        <v>0</v>
      </c>
      <c r="H60" s="2">
        <f>IFERROR(VLOOKUP(A60,'Approved individual amount data'!$A$1:$S$135,8,FALSE),"")</f>
        <v>0</v>
      </c>
      <c r="I60" s="2">
        <f>IFERROR(VLOOKUP(A60,'Approved individual amount data'!$A$1:$S$135,9,FALSE),"")</f>
        <v>0</v>
      </c>
      <c r="J60" s="2">
        <f>IFERROR(VLOOKUP(A60,'Approved individual amount data'!$A$1:$S$135,10,FALSE),"")</f>
        <v>0</v>
      </c>
      <c r="K60" s="2">
        <f>IFERROR(VLOOKUP(A60,'Approved individual amount data'!$A$1:$S$135,11,FALSE),"")</f>
        <v>0</v>
      </c>
      <c r="L60" s="2">
        <f>IFERROR(VLOOKUP(A60,'Approved individual amount data'!$A$1:$S$135,12,FALSE),"")</f>
        <v>0</v>
      </c>
      <c r="M60" s="2">
        <f>IFERROR(VLOOKUP(A60,'Approved individual amount data'!$A$1:$S$135,13,FALSE),"")</f>
        <v>0</v>
      </c>
      <c r="N60" s="2">
        <f>IFERROR(VLOOKUP(A60,'Approved individual amount data'!$A$1:$S$135,14,FALSE),"")</f>
        <v>0</v>
      </c>
      <c r="O60" s="2">
        <f>IFERROR(VLOOKUP(A60,'Approved individual amount data'!$A$1:$S$135,15,FALSE),"")</f>
        <v>0</v>
      </c>
      <c r="P60" s="2">
        <f>IFERROR(VLOOKUP(A60,'Approved individual amount data'!$A$1:$S$135,16,FALSE),"")</f>
        <v>0</v>
      </c>
      <c r="Q60" s="2">
        <f>IFERROR(VLOOKUP(A60,'Approved individual amount data'!$A$1:$S$135,17,FALSE),"")</f>
        <v>0</v>
      </c>
      <c r="R60" s="2">
        <f>IFERROR(VLOOKUP(A60,'Approved individual amount data'!$A$1:$S$135,18,FALSE),"")</f>
        <v>0</v>
      </c>
      <c r="S60" s="2">
        <f>IFERROR(VLOOKUP(A60,'Approved individual amount data'!$A$1:$S$135,19,FALSE),"")</f>
        <v>0</v>
      </c>
    </row>
    <row r="61" spans="1:19" x14ac:dyDescent="0.25">
      <c r="A61" t="str">
        <f>'Local multi year dist'!S61</f>
        <v>Harrisonburg City</v>
      </c>
      <c r="B61" s="2">
        <f>IFERROR(VLOOKUP(A61,'Approved individual amount data'!$A$1:$S$135,2,FALSE),"")</f>
        <v>0</v>
      </c>
      <c r="C61" s="2">
        <f>IFERROR(VLOOKUP(A61,'Approved individual amount data'!$A$1:$S$135,3,FALSE),"")</f>
        <v>0</v>
      </c>
      <c r="D61" s="2">
        <f>IFERROR(VLOOKUP(A61,'Approved individual amount data'!$A$1:$S$135,4,FALSE),"")</f>
        <v>48717</v>
      </c>
      <c r="E61" s="2">
        <f>IFERROR(VLOOKUP(A61,'Approved individual amount data'!$A$1:$S$135,5,FALSE),"")</f>
        <v>0</v>
      </c>
      <c r="F61" s="2">
        <f>IFERROR(VLOOKUP(A61,'Approved individual amount data'!$A$1:$S$135,6,FALSE),"")</f>
        <v>0</v>
      </c>
      <c r="G61" s="2">
        <f>IFERROR(VLOOKUP(A61,'Approved individual amount data'!$A$1:$S$135,7,FALSE),"")</f>
        <v>0</v>
      </c>
      <c r="H61" s="2">
        <f>IFERROR(VLOOKUP(A61,'Approved individual amount data'!$A$1:$S$135,8,FALSE),"")</f>
        <v>0</v>
      </c>
      <c r="I61" s="2">
        <f>IFERROR(VLOOKUP(A61,'Approved individual amount data'!$A$1:$S$135,9,FALSE),"")</f>
        <v>0</v>
      </c>
      <c r="J61" s="2">
        <f>IFERROR(VLOOKUP(A61,'Approved individual amount data'!$A$1:$S$135,10,FALSE),"")</f>
        <v>0</v>
      </c>
      <c r="K61" s="2">
        <f>IFERROR(VLOOKUP(A61,'Approved individual amount data'!$A$1:$S$135,11,FALSE),"")</f>
        <v>0</v>
      </c>
      <c r="L61" s="2">
        <f>IFERROR(VLOOKUP(A61,'Approved individual amount data'!$A$1:$S$135,12,FALSE),"")</f>
        <v>0</v>
      </c>
      <c r="M61" s="2">
        <f>IFERROR(VLOOKUP(A61,'Approved individual amount data'!$A$1:$S$135,13,FALSE),"")</f>
        <v>0</v>
      </c>
      <c r="N61" s="2">
        <f>IFERROR(VLOOKUP(A61,'Approved individual amount data'!$A$1:$S$135,14,FALSE),"")</f>
        <v>0</v>
      </c>
      <c r="O61" s="2">
        <f>IFERROR(VLOOKUP(A61,'Approved individual amount data'!$A$1:$S$135,15,FALSE),"")</f>
        <v>0</v>
      </c>
      <c r="P61" s="2">
        <f>IFERROR(VLOOKUP(A61,'Approved individual amount data'!$A$1:$S$135,16,FALSE),"")</f>
        <v>0</v>
      </c>
      <c r="Q61" s="2">
        <f>IFERROR(VLOOKUP(A61,'Approved individual amount data'!$A$1:$S$135,17,FALSE),"")</f>
        <v>0</v>
      </c>
      <c r="R61" s="2">
        <f>IFERROR(VLOOKUP(A61,'Approved individual amount data'!$A$1:$S$135,18,FALSE),"")</f>
        <v>0</v>
      </c>
      <c r="S61" s="2">
        <f>IFERROR(VLOOKUP(A61,'Approved individual amount data'!$A$1:$S$135,19,FALSE),"")</f>
        <v>0</v>
      </c>
    </row>
    <row r="62" spans="1:19" x14ac:dyDescent="0.25">
      <c r="A62" t="str">
        <f>'Local multi year dist'!S62</f>
        <v>Henrico County</v>
      </c>
      <c r="B62" s="2">
        <f>IFERROR(VLOOKUP(A62,'Approved individual amount data'!$A$1:$S$135,2,FALSE),"")</f>
        <v>0</v>
      </c>
      <c r="C62" s="2">
        <f>IFERROR(VLOOKUP(A62,'Approved individual amount data'!$A$1:$S$135,3,FALSE),"")</f>
        <v>0</v>
      </c>
      <c r="D62" s="2">
        <f>IFERROR(VLOOKUP(A62,'Approved individual amount data'!$A$1:$S$135,4,FALSE),"")</f>
        <v>72700</v>
      </c>
      <c r="E62" s="2">
        <f>IFERROR(VLOOKUP(A62,'Approved individual amount data'!$A$1:$S$135,5,FALSE),"")</f>
        <v>155431</v>
      </c>
      <c r="F62" s="2">
        <f>IFERROR(VLOOKUP(A62,'Approved individual amount data'!$A$1:$S$135,6,FALSE),"")</f>
        <v>0</v>
      </c>
      <c r="G62" s="2">
        <f>IFERROR(VLOOKUP(A62,'Approved individual amount data'!$A$1:$S$135,7,FALSE),"")</f>
        <v>0</v>
      </c>
      <c r="H62" s="2">
        <f>IFERROR(VLOOKUP(A62,'Approved individual amount data'!$A$1:$S$135,8,FALSE),"")</f>
        <v>0</v>
      </c>
      <c r="I62" s="2">
        <f>IFERROR(VLOOKUP(A62,'Approved individual amount data'!$A$1:$S$135,9,FALSE),"")</f>
        <v>0</v>
      </c>
      <c r="J62" s="2">
        <f>IFERROR(VLOOKUP(A62,'Approved individual amount data'!$A$1:$S$135,10,FALSE),"")</f>
        <v>0</v>
      </c>
      <c r="K62" s="2">
        <f>IFERROR(VLOOKUP(A62,'Approved individual amount data'!$A$1:$S$135,11,FALSE),"")</f>
        <v>0</v>
      </c>
      <c r="L62" s="2">
        <f>IFERROR(VLOOKUP(A62,'Approved individual amount data'!$A$1:$S$135,12,FALSE),"")</f>
        <v>0</v>
      </c>
      <c r="M62" s="2">
        <f>IFERROR(VLOOKUP(A62,'Approved individual amount data'!$A$1:$S$135,13,FALSE),"")</f>
        <v>0</v>
      </c>
      <c r="N62" s="2">
        <f>IFERROR(VLOOKUP(A62,'Approved individual amount data'!$A$1:$S$135,14,FALSE),"")</f>
        <v>0</v>
      </c>
      <c r="O62" s="2">
        <f>IFERROR(VLOOKUP(A62,'Approved individual amount data'!$A$1:$S$135,15,FALSE),"")</f>
        <v>0</v>
      </c>
      <c r="P62" s="2">
        <f>IFERROR(VLOOKUP(A62,'Approved individual amount data'!$A$1:$S$135,16,FALSE),"")</f>
        <v>0</v>
      </c>
      <c r="Q62" s="2">
        <f>IFERROR(VLOOKUP(A62,'Approved individual amount data'!$A$1:$S$135,17,FALSE),"")</f>
        <v>0</v>
      </c>
      <c r="R62" s="2">
        <f>IFERROR(VLOOKUP(A62,'Approved individual amount data'!$A$1:$S$135,18,FALSE),"")</f>
        <v>0</v>
      </c>
      <c r="S62" s="2">
        <f>IFERROR(VLOOKUP(A62,'Approved individual amount data'!$A$1:$S$135,19,FALSE),"")</f>
        <v>0</v>
      </c>
    </row>
    <row r="63" spans="1:19" x14ac:dyDescent="0.25">
      <c r="A63" t="str">
        <f>'Local multi year dist'!S63</f>
        <v>Henry County</v>
      </c>
      <c r="B63" s="2">
        <f>IFERROR(VLOOKUP(A63,'Approved individual amount data'!$A$1:$S$135,2,FALSE),"")</f>
        <v>0</v>
      </c>
      <c r="C63" s="2">
        <f>IFERROR(VLOOKUP(A63,'Approved individual amount data'!$A$1:$S$135,3,FALSE),"")</f>
        <v>0</v>
      </c>
      <c r="D63" s="2">
        <f>IFERROR(VLOOKUP(A63,'Approved individual amount data'!$A$1:$S$135,4,FALSE),"")</f>
        <v>0</v>
      </c>
      <c r="E63" s="2">
        <f>IFERROR(VLOOKUP(A63,'Approved individual amount data'!$A$1:$S$135,5,FALSE),"")</f>
        <v>0</v>
      </c>
      <c r="F63" s="2">
        <f>IFERROR(VLOOKUP(A63,'Approved individual amount data'!$A$1:$S$135,6,FALSE),"")</f>
        <v>0</v>
      </c>
      <c r="G63" s="2">
        <f>IFERROR(VLOOKUP(A63,'Approved individual amount data'!$A$1:$S$135,7,FALSE),"")</f>
        <v>0</v>
      </c>
      <c r="H63" s="2">
        <f>IFERROR(VLOOKUP(A63,'Approved individual amount data'!$A$1:$S$135,8,FALSE),"")</f>
        <v>0</v>
      </c>
      <c r="I63" s="2">
        <f>IFERROR(VLOOKUP(A63,'Approved individual amount data'!$A$1:$S$135,9,FALSE),"")</f>
        <v>0</v>
      </c>
      <c r="J63" s="2">
        <f>IFERROR(VLOOKUP(A63,'Approved individual amount data'!$A$1:$S$135,10,FALSE),"")</f>
        <v>0</v>
      </c>
      <c r="K63" s="2">
        <f>IFERROR(VLOOKUP(A63,'Approved individual amount data'!$A$1:$S$135,11,FALSE),"")</f>
        <v>0</v>
      </c>
      <c r="L63" s="2">
        <f>IFERROR(VLOOKUP(A63,'Approved individual amount data'!$A$1:$S$135,12,FALSE),"")</f>
        <v>0</v>
      </c>
      <c r="M63" s="2">
        <f>IFERROR(VLOOKUP(A63,'Approved individual amount data'!$A$1:$S$135,13,FALSE),"")</f>
        <v>0</v>
      </c>
      <c r="N63" s="2">
        <f>IFERROR(VLOOKUP(A63,'Approved individual amount data'!$A$1:$S$135,14,FALSE),"")</f>
        <v>0</v>
      </c>
      <c r="O63" s="2">
        <f>IFERROR(VLOOKUP(A63,'Approved individual amount data'!$A$1:$S$135,15,FALSE),"")</f>
        <v>0</v>
      </c>
      <c r="P63" s="2">
        <f>IFERROR(VLOOKUP(A63,'Approved individual amount data'!$A$1:$S$135,16,FALSE),"")</f>
        <v>0</v>
      </c>
      <c r="Q63" s="2">
        <f>IFERROR(VLOOKUP(A63,'Approved individual amount data'!$A$1:$S$135,17,FALSE),"")</f>
        <v>0</v>
      </c>
      <c r="R63" s="2">
        <f>IFERROR(VLOOKUP(A63,'Approved individual amount data'!$A$1:$S$135,18,FALSE),"")</f>
        <v>0</v>
      </c>
      <c r="S63" s="2">
        <f>IFERROR(VLOOKUP(A63,'Approved individual amount data'!$A$1:$S$135,19,FALSE),"")</f>
        <v>0</v>
      </c>
    </row>
    <row r="64" spans="1:19" x14ac:dyDescent="0.25">
      <c r="A64" t="str">
        <f>'Local multi year dist'!S64</f>
        <v>Highland County</v>
      </c>
      <c r="B64" s="2">
        <f>IFERROR(VLOOKUP(A64,'Approved individual amount data'!$A$1:$S$135,2,FALSE),"")</f>
        <v>0</v>
      </c>
      <c r="C64" s="2">
        <f>IFERROR(VLOOKUP(A64,'Approved individual amount data'!$A$1:$S$135,3,FALSE),"")</f>
        <v>0</v>
      </c>
      <c r="D64" s="2">
        <f>IFERROR(VLOOKUP(A64,'Approved individual amount data'!$A$1:$S$135,4,FALSE),"")</f>
        <v>0</v>
      </c>
      <c r="E64" s="2">
        <f>IFERROR(VLOOKUP(A64,'Approved individual amount data'!$A$1:$S$135,5,FALSE),"")</f>
        <v>0</v>
      </c>
      <c r="F64" s="2">
        <f>IFERROR(VLOOKUP(A64,'Approved individual amount data'!$A$1:$S$135,6,FALSE),"")</f>
        <v>0</v>
      </c>
      <c r="G64" s="2">
        <f>IFERROR(VLOOKUP(A64,'Approved individual amount data'!$A$1:$S$135,7,FALSE),"")</f>
        <v>0</v>
      </c>
      <c r="H64" s="2">
        <f>IFERROR(VLOOKUP(A64,'Approved individual amount data'!$A$1:$S$135,8,FALSE),"")</f>
        <v>0</v>
      </c>
      <c r="I64" s="2">
        <f>IFERROR(VLOOKUP(A64,'Approved individual amount data'!$A$1:$S$135,9,FALSE),"")</f>
        <v>0</v>
      </c>
      <c r="J64" s="2">
        <f>IFERROR(VLOOKUP(A64,'Approved individual amount data'!$A$1:$S$135,10,FALSE),"")</f>
        <v>0</v>
      </c>
      <c r="K64" s="2">
        <f>IFERROR(VLOOKUP(A64,'Approved individual amount data'!$A$1:$S$135,11,FALSE),"")</f>
        <v>0</v>
      </c>
      <c r="L64" s="2">
        <f>IFERROR(VLOOKUP(A64,'Approved individual amount data'!$A$1:$S$135,12,FALSE),"")</f>
        <v>0</v>
      </c>
      <c r="M64" s="2">
        <f>IFERROR(VLOOKUP(A64,'Approved individual amount data'!$A$1:$S$135,13,FALSE),"")</f>
        <v>0</v>
      </c>
      <c r="N64" s="2">
        <f>IFERROR(VLOOKUP(A64,'Approved individual amount data'!$A$1:$S$135,14,FALSE),"")</f>
        <v>0</v>
      </c>
      <c r="O64" s="2">
        <f>IFERROR(VLOOKUP(A64,'Approved individual amount data'!$A$1:$S$135,15,FALSE),"")</f>
        <v>0</v>
      </c>
      <c r="P64" s="2">
        <f>IFERROR(VLOOKUP(A64,'Approved individual amount data'!$A$1:$S$135,16,FALSE),"")</f>
        <v>0</v>
      </c>
      <c r="Q64" s="2">
        <f>IFERROR(VLOOKUP(A64,'Approved individual amount data'!$A$1:$S$135,17,FALSE),"")</f>
        <v>0</v>
      </c>
      <c r="R64" s="2">
        <f>IFERROR(VLOOKUP(A64,'Approved individual amount data'!$A$1:$S$135,18,FALSE),"")</f>
        <v>0</v>
      </c>
      <c r="S64" s="2">
        <f>IFERROR(VLOOKUP(A64,'Approved individual amount data'!$A$1:$S$135,19,FALSE),"")</f>
        <v>0</v>
      </c>
    </row>
    <row r="65" spans="1:19" x14ac:dyDescent="0.25">
      <c r="A65" t="str">
        <f>'Local multi year dist'!S65</f>
        <v>Hopewell City</v>
      </c>
      <c r="B65" s="2">
        <f>IFERROR(VLOOKUP(A65,'Approved individual amount data'!$A$1:$S$135,2,FALSE),"")</f>
        <v>0</v>
      </c>
      <c r="C65" s="2">
        <f>IFERROR(VLOOKUP(A65,'Approved individual amount data'!$A$1:$S$135,3,FALSE),"")</f>
        <v>0</v>
      </c>
      <c r="D65" s="2">
        <f>IFERROR(VLOOKUP(A65,'Approved individual amount data'!$A$1:$S$135,4,FALSE),"")</f>
        <v>0</v>
      </c>
      <c r="E65" s="2">
        <f>IFERROR(VLOOKUP(A65,'Approved individual amount data'!$A$1:$S$135,5,FALSE),"")</f>
        <v>0</v>
      </c>
      <c r="F65" s="2">
        <f>IFERROR(VLOOKUP(A65,'Approved individual amount data'!$A$1:$S$135,6,FALSE),"")</f>
        <v>0</v>
      </c>
      <c r="G65" s="2">
        <f>IFERROR(VLOOKUP(A65,'Approved individual amount data'!$A$1:$S$135,7,FALSE),"")</f>
        <v>0</v>
      </c>
      <c r="H65" s="2">
        <f>IFERROR(VLOOKUP(A65,'Approved individual amount data'!$A$1:$S$135,8,FALSE),"")</f>
        <v>0</v>
      </c>
      <c r="I65" s="2">
        <f>IFERROR(VLOOKUP(A65,'Approved individual amount data'!$A$1:$S$135,9,FALSE),"")</f>
        <v>0</v>
      </c>
      <c r="J65" s="2">
        <f>IFERROR(VLOOKUP(A65,'Approved individual amount data'!$A$1:$S$135,10,FALSE),"")</f>
        <v>0</v>
      </c>
      <c r="K65" s="2">
        <f>IFERROR(VLOOKUP(A65,'Approved individual amount data'!$A$1:$S$135,11,FALSE),"")</f>
        <v>0</v>
      </c>
      <c r="L65" s="2">
        <f>IFERROR(VLOOKUP(A65,'Approved individual amount data'!$A$1:$S$135,12,FALSE),"")</f>
        <v>0</v>
      </c>
      <c r="M65" s="2">
        <f>IFERROR(VLOOKUP(A65,'Approved individual amount data'!$A$1:$S$135,13,FALSE),"")</f>
        <v>0</v>
      </c>
      <c r="N65" s="2">
        <f>IFERROR(VLOOKUP(A65,'Approved individual amount data'!$A$1:$S$135,14,FALSE),"")</f>
        <v>0</v>
      </c>
      <c r="O65" s="2">
        <f>IFERROR(VLOOKUP(A65,'Approved individual amount data'!$A$1:$S$135,15,FALSE),"")</f>
        <v>0</v>
      </c>
      <c r="P65" s="2">
        <f>IFERROR(VLOOKUP(A65,'Approved individual amount data'!$A$1:$S$135,16,FALSE),"")</f>
        <v>0</v>
      </c>
      <c r="Q65" s="2">
        <f>IFERROR(VLOOKUP(A65,'Approved individual amount data'!$A$1:$S$135,17,FALSE),"")</f>
        <v>0</v>
      </c>
      <c r="R65" s="2">
        <f>IFERROR(VLOOKUP(A65,'Approved individual amount data'!$A$1:$S$135,18,FALSE),"")</f>
        <v>0</v>
      </c>
      <c r="S65" s="2">
        <f>IFERROR(VLOOKUP(A65,'Approved individual amount data'!$A$1:$S$135,19,FALSE),"")</f>
        <v>0</v>
      </c>
    </row>
    <row r="66" spans="1:19" x14ac:dyDescent="0.25">
      <c r="A66" t="str">
        <f>'Local multi year dist'!S66</f>
        <v>Isle of Wight County</v>
      </c>
      <c r="B66" s="2">
        <f>IFERROR(VLOOKUP(A66,'Approved individual amount data'!$A$1:$S$135,2,FALSE),"")</f>
        <v>0</v>
      </c>
      <c r="C66" s="2">
        <f>IFERROR(VLOOKUP(A66,'Approved individual amount data'!$A$1:$S$135,3,FALSE),"")</f>
        <v>0</v>
      </c>
      <c r="D66" s="2">
        <f>IFERROR(VLOOKUP(A66,'Approved individual amount data'!$A$1:$S$135,4,FALSE),"")</f>
        <v>0</v>
      </c>
      <c r="E66" s="2">
        <f>IFERROR(VLOOKUP(A66,'Approved individual amount data'!$A$1:$S$135,5,FALSE),"")</f>
        <v>0</v>
      </c>
      <c r="F66" s="2">
        <f>IFERROR(VLOOKUP(A66,'Approved individual amount data'!$A$1:$S$135,6,FALSE),"")</f>
        <v>0</v>
      </c>
      <c r="G66" s="2">
        <f>IFERROR(VLOOKUP(A66,'Approved individual amount data'!$A$1:$S$135,7,FALSE),"")</f>
        <v>0</v>
      </c>
      <c r="H66" s="2">
        <f>IFERROR(VLOOKUP(A66,'Approved individual amount data'!$A$1:$S$135,8,FALSE),"")</f>
        <v>0</v>
      </c>
      <c r="I66" s="2">
        <f>IFERROR(VLOOKUP(A66,'Approved individual amount data'!$A$1:$S$135,9,FALSE),"")</f>
        <v>0</v>
      </c>
      <c r="J66" s="2">
        <f>IFERROR(VLOOKUP(A66,'Approved individual amount data'!$A$1:$S$135,10,FALSE),"")</f>
        <v>0</v>
      </c>
      <c r="K66" s="2">
        <f>IFERROR(VLOOKUP(A66,'Approved individual amount data'!$A$1:$S$135,11,FALSE),"")</f>
        <v>0</v>
      </c>
      <c r="L66" s="2">
        <f>IFERROR(VLOOKUP(A66,'Approved individual amount data'!$A$1:$S$135,12,FALSE),"")</f>
        <v>0</v>
      </c>
      <c r="M66" s="2">
        <f>IFERROR(VLOOKUP(A66,'Approved individual amount data'!$A$1:$S$135,13,FALSE),"")</f>
        <v>0</v>
      </c>
      <c r="N66" s="2">
        <f>IFERROR(VLOOKUP(A66,'Approved individual amount data'!$A$1:$S$135,14,FALSE),"")</f>
        <v>0</v>
      </c>
      <c r="O66" s="2">
        <f>IFERROR(VLOOKUP(A66,'Approved individual amount data'!$A$1:$S$135,15,FALSE),"")</f>
        <v>0</v>
      </c>
      <c r="P66" s="2">
        <f>IFERROR(VLOOKUP(A66,'Approved individual amount data'!$A$1:$S$135,16,FALSE),"")</f>
        <v>0</v>
      </c>
      <c r="Q66" s="2">
        <f>IFERROR(VLOOKUP(A66,'Approved individual amount data'!$A$1:$S$135,17,FALSE),"")</f>
        <v>0</v>
      </c>
      <c r="R66" s="2">
        <f>IFERROR(VLOOKUP(A66,'Approved individual amount data'!$A$1:$S$135,18,FALSE),"")</f>
        <v>0</v>
      </c>
      <c r="S66" s="2">
        <f>IFERROR(VLOOKUP(A66,'Approved individual amount data'!$A$1:$S$135,19,FALSE),"")</f>
        <v>0</v>
      </c>
    </row>
    <row r="67" spans="1:19" x14ac:dyDescent="0.25">
      <c r="A67" t="str">
        <f>'Local multi year dist'!S67</f>
        <v>James City County</v>
      </c>
      <c r="B67" s="2">
        <f>IFERROR(VLOOKUP(A67,'Approved individual amount data'!$A$1:$S$135,2,FALSE),"")</f>
        <v>0</v>
      </c>
      <c r="C67" s="2">
        <f>IFERROR(VLOOKUP(A67,'Approved individual amount data'!$A$1:$S$135,3,FALSE),"")</f>
        <v>0</v>
      </c>
      <c r="D67" s="2">
        <f>IFERROR(VLOOKUP(A67,'Approved individual amount data'!$A$1:$S$135,4,FALSE),"")</f>
        <v>0</v>
      </c>
      <c r="E67" s="2">
        <f>IFERROR(VLOOKUP(A67,'Approved individual amount data'!$A$1:$S$135,5,FALSE),"")</f>
        <v>71305</v>
      </c>
      <c r="F67" s="2">
        <f>IFERROR(VLOOKUP(A67,'Approved individual amount data'!$A$1:$S$135,6,FALSE),"")</f>
        <v>0</v>
      </c>
      <c r="G67" s="2">
        <f>IFERROR(VLOOKUP(A67,'Approved individual amount data'!$A$1:$S$135,7,FALSE),"")</f>
        <v>0</v>
      </c>
      <c r="H67" s="2">
        <f>IFERROR(VLOOKUP(A67,'Approved individual amount data'!$A$1:$S$135,8,FALSE),"")</f>
        <v>0</v>
      </c>
      <c r="I67" s="2">
        <f>IFERROR(VLOOKUP(A67,'Approved individual amount data'!$A$1:$S$135,9,FALSE),"")</f>
        <v>0</v>
      </c>
      <c r="J67" s="2">
        <f>IFERROR(VLOOKUP(A67,'Approved individual amount data'!$A$1:$S$135,10,FALSE),"")</f>
        <v>0</v>
      </c>
      <c r="K67" s="2">
        <f>IFERROR(VLOOKUP(A67,'Approved individual amount data'!$A$1:$S$135,11,FALSE),"")</f>
        <v>0</v>
      </c>
      <c r="L67" s="2">
        <f>IFERROR(VLOOKUP(A67,'Approved individual amount data'!$A$1:$S$135,12,FALSE),"")</f>
        <v>0</v>
      </c>
      <c r="M67" s="2">
        <f>IFERROR(VLOOKUP(A67,'Approved individual amount data'!$A$1:$S$135,13,FALSE),"")</f>
        <v>0</v>
      </c>
      <c r="N67" s="2">
        <f>IFERROR(VLOOKUP(A67,'Approved individual amount data'!$A$1:$S$135,14,FALSE),"")</f>
        <v>0</v>
      </c>
      <c r="O67" s="2">
        <f>IFERROR(VLOOKUP(A67,'Approved individual amount data'!$A$1:$S$135,15,FALSE),"")</f>
        <v>0</v>
      </c>
      <c r="P67" s="2">
        <f>IFERROR(VLOOKUP(A67,'Approved individual amount data'!$A$1:$S$135,16,FALSE),"")</f>
        <v>0</v>
      </c>
      <c r="Q67" s="2">
        <f>IFERROR(VLOOKUP(A67,'Approved individual amount data'!$A$1:$S$135,17,FALSE),"")</f>
        <v>0</v>
      </c>
      <c r="R67" s="2">
        <f>IFERROR(VLOOKUP(A67,'Approved individual amount data'!$A$1:$S$135,18,FALSE),"")</f>
        <v>0</v>
      </c>
      <c r="S67" s="2">
        <f>IFERROR(VLOOKUP(A67,'Approved individual amount data'!$A$1:$S$135,19,FALSE),"")</f>
        <v>0</v>
      </c>
    </row>
    <row r="68" spans="1:19" x14ac:dyDescent="0.25">
      <c r="A68" t="str">
        <f>'Local multi year dist'!S68</f>
        <v>King George County</v>
      </c>
      <c r="B68" s="2">
        <f>IFERROR(VLOOKUP(A68,'Approved individual amount data'!$A$1:$S$135,2,FALSE),"")</f>
        <v>0</v>
      </c>
      <c r="C68" s="2">
        <f>IFERROR(VLOOKUP(A68,'Approved individual amount data'!$A$1:$S$135,3,FALSE),"")</f>
        <v>0</v>
      </c>
      <c r="D68" s="2">
        <f>IFERROR(VLOOKUP(A68,'Approved individual amount data'!$A$1:$S$135,4,FALSE),"")</f>
        <v>22230</v>
      </c>
      <c r="E68" s="2">
        <f>IFERROR(VLOOKUP(A68,'Approved individual amount data'!$A$1:$S$135,5,FALSE),"")</f>
        <v>19424</v>
      </c>
      <c r="F68" s="2">
        <f>IFERROR(VLOOKUP(A68,'Approved individual amount data'!$A$1:$S$135,6,FALSE),"")</f>
        <v>0</v>
      </c>
      <c r="G68" s="2">
        <f>IFERROR(VLOOKUP(A68,'Approved individual amount data'!$A$1:$S$135,7,FALSE),"")</f>
        <v>0</v>
      </c>
      <c r="H68" s="2">
        <f>IFERROR(VLOOKUP(A68,'Approved individual amount data'!$A$1:$S$135,8,FALSE),"")</f>
        <v>0</v>
      </c>
      <c r="I68" s="2">
        <f>IFERROR(VLOOKUP(A68,'Approved individual amount data'!$A$1:$S$135,9,FALSE),"")</f>
        <v>0</v>
      </c>
      <c r="J68" s="2">
        <f>IFERROR(VLOOKUP(A68,'Approved individual amount data'!$A$1:$S$135,10,FALSE),"")</f>
        <v>0</v>
      </c>
      <c r="K68" s="2">
        <f>IFERROR(VLOOKUP(A68,'Approved individual amount data'!$A$1:$S$135,11,FALSE),"")</f>
        <v>0</v>
      </c>
      <c r="L68" s="2">
        <f>IFERROR(VLOOKUP(A68,'Approved individual amount data'!$A$1:$S$135,12,FALSE),"")</f>
        <v>0</v>
      </c>
      <c r="M68" s="2">
        <f>IFERROR(VLOOKUP(A68,'Approved individual amount data'!$A$1:$S$135,13,FALSE),"")</f>
        <v>0</v>
      </c>
      <c r="N68" s="2">
        <f>IFERROR(VLOOKUP(A68,'Approved individual amount data'!$A$1:$S$135,14,FALSE),"")</f>
        <v>0</v>
      </c>
      <c r="O68" s="2">
        <f>IFERROR(VLOOKUP(A68,'Approved individual amount data'!$A$1:$S$135,15,FALSE),"")</f>
        <v>0</v>
      </c>
      <c r="P68" s="2">
        <f>IFERROR(VLOOKUP(A68,'Approved individual amount data'!$A$1:$S$135,16,FALSE),"")</f>
        <v>0</v>
      </c>
      <c r="Q68" s="2">
        <f>IFERROR(VLOOKUP(A68,'Approved individual amount data'!$A$1:$S$135,17,FALSE),"")</f>
        <v>0</v>
      </c>
      <c r="R68" s="2">
        <f>IFERROR(VLOOKUP(A68,'Approved individual amount data'!$A$1:$S$135,18,FALSE),"")</f>
        <v>0</v>
      </c>
      <c r="S68" s="2">
        <f>IFERROR(VLOOKUP(A68,'Approved individual amount data'!$A$1:$S$135,19,FALSE),"")</f>
        <v>0</v>
      </c>
    </row>
    <row r="69" spans="1:19" x14ac:dyDescent="0.25">
      <c r="A69" t="str">
        <f>'Local multi year dist'!S69</f>
        <v>King William County</v>
      </c>
      <c r="B69" s="2">
        <f>IFERROR(VLOOKUP(A69,'Approved individual amount data'!$A$1:$S$135,2,FALSE),"")</f>
        <v>0</v>
      </c>
      <c r="C69" s="2">
        <f>IFERROR(VLOOKUP(A69,'Approved individual amount data'!$A$1:$S$135,3,FALSE),"")</f>
        <v>0</v>
      </c>
      <c r="D69" s="2">
        <f>IFERROR(VLOOKUP(A69,'Approved individual amount data'!$A$1:$S$135,4,FALSE),"")</f>
        <v>0</v>
      </c>
      <c r="E69" s="2">
        <f>IFERROR(VLOOKUP(A69,'Approved individual amount data'!$A$1:$S$135,5,FALSE),"")</f>
        <v>0</v>
      </c>
      <c r="F69" s="2">
        <f>IFERROR(VLOOKUP(A69,'Approved individual amount data'!$A$1:$S$135,6,FALSE),"")</f>
        <v>0</v>
      </c>
      <c r="G69" s="2">
        <f>IFERROR(VLOOKUP(A69,'Approved individual amount data'!$A$1:$S$135,7,FALSE),"")</f>
        <v>0</v>
      </c>
      <c r="H69" s="2">
        <f>IFERROR(VLOOKUP(A69,'Approved individual amount data'!$A$1:$S$135,8,FALSE),"")</f>
        <v>0</v>
      </c>
      <c r="I69" s="2">
        <f>IFERROR(VLOOKUP(A69,'Approved individual amount data'!$A$1:$S$135,9,FALSE),"")</f>
        <v>0</v>
      </c>
      <c r="J69" s="2">
        <f>IFERROR(VLOOKUP(A69,'Approved individual amount data'!$A$1:$S$135,10,FALSE),"")</f>
        <v>0</v>
      </c>
      <c r="K69" s="2">
        <f>IFERROR(VLOOKUP(A69,'Approved individual amount data'!$A$1:$S$135,11,FALSE),"")</f>
        <v>0</v>
      </c>
      <c r="L69" s="2">
        <f>IFERROR(VLOOKUP(A69,'Approved individual amount data'!$A$1:$S$135,12,FALSE),"")</f>
        <v>0</v>
      </c>
      <c r="M69" s="2">
        <f>IFERROR(VLOOKUP(A69,'Approved individual amount data'!$A$1:$S$135,13,FALSE),"")</f>
        <v>0</v>
      </c>
      <c r="N69" s="2">
        <f>IFERROR(VLOOKUP(A69,'Approved individual amount data'!$A$1:$S$135,14,FALSE),"")</f>
        <v>0</v>
      </c>
      <c r="O69" s="2">
        <f>IFERROR(VLOOKUP(A69,'Approved individual amount data'!$A$1:$S$135,15,FALSE),"")</f>
        <v>0</v>
      </c>
      <c r="P69" s="2">
        <f>IFERROR(VLOOKUP(A69,'Approved individual amount data'!$A$1:$S$135,16,FALSE),"")</f>
        <v>0</v>
      </c>
      <c r="Q69" s="2">
        <f>IFERROR(VLOOKUP(A69,'Approved individual amount data'!$A$1:$S$135,17,FALSE),"")</f>
        <v>0</v>
      </c>
      <c r="R69" s="2">
        <f>IFERROR(VLOOKUP(A69,'Approved individual amount data'!$A$1:$S$135,18,FALSE),"")</f>
        <v>0</v>
      </c>
      <c r="S69" s="2">
        <f>IFERROR(VLOOKUP(A69,'Approved individual amount data'!$A$1:$S$135,19,FALSE),"")</f>
        <v>0</v>
      </c>
    </row>
    <row r="70" spans="1:19" x14ac:dyDescent="0.25">
      <c r="A70" t="str">
        <f>'Local multi year dist'!S70</f>
        <v>King and Queen County</v>
      </c>
      <c r="B70" s="2">
        <f>IFERROR(VLOOKUP(A70,'Approved individual amount data'!$A$1:$S$135,2,FALSE),"")</f>
        <v>0</v>
      </c>
      <c r="C70" s="2">
        <f>IFERROR(VLOOKUP(A70,'Approved individual amount data'!$A$1:$S$135,3,FALSE),"")</f>
        <v>0</v>
      </c>
      <c r="D70" s="2">
        <f>IFERROR(VLOOKUP(A70,'Approved individual amount data'!$A$1:$S$135,4,FALSE),"")</f>
        <v>0</v>
      </c>
      <c r="E70" s="2">
        <f>IFERROR(VLOOKUP(A70,'Approved individual amount data'!$A$1:$S$135,5,FALSE),"")</f>
        <v>0</v>
      </c>
      <c r="F70" s="2">
        <f>IFERROR(VLOOKUP(A70,'Approved individual amount data'!$A$1:$S$135,6,FALSE),"")</f>
        <v>0</v>
      </c>
      <c r="G70" s="2">
        <f>IFERROR(VLOOKUP(A70,'Approved individual amount data'!$A$1:$S$135,7,FALSE),"")</f>
        <v>0</v>
      </c>
      <c r="H70" s="2">
        <f>IFERROR(VLOOKUP(A70,'Approved individual amount data'!$A$1:$S$135,8,FALSE),"")</f>
        <v>0</v>
      </c>
      <c r="I70" s="2">
        <f>IFERROR(VLOOKUP(A70,'Approved individual amount data'!$A$1:$S$135,9,FALSE),"")</f>
        <v>0</v>
      </c>
      <c r="J70" s="2">
        <f>IFERROR(VLOOKUP(A70,'Approved individual amount data'!$A$1:$S$135,10,FALSE),"")</f>
        <v>0</v>
      </c>
      <c r="K70" s="2">
        <f>IFERROR(VLOOKUP(A70,'Approved individual amount data'!$A$1:$S$135,11,FALSE),"")</f>
        <v>0</v>
      </c>
      <c r="L70" s="2">
        <f>IFERROR(VLOOKUP(A70,'Approved individual amount data'!$A$1:$S$135,12,FALSE),"")</f>
        <v>0</v>
      </c>
      <c r="M70" s="2">
        <f>IFERROR(VLOOKUP(A70,'Approved individual amount data'!$A$1:$S$135,13,FALSE),"")</f>
        <v>0</v>
      </c>
      <c r="N70" s="2">
        <f>IFERROR(VLOOKUP(A70,'Approved individual amount data'!$A$1:$S$135,14,FALSE),"")</f>
        <v>0</v>
      </c>
      <c r="O70" s="2">
        <f>IFERROR(VLOOKUP(A70,'Approved individual amount data'!$A$1:$S$135,15,FALSE),"")</f>
        <v>0</v>
      </c>
      <c r="P70" s="2">
        <f>IFERROR(VLOOKUP(A70,'Approved individual amount data'!$A$1:$S$135,16,FALSE),"")</f>
        <v>0</v>
      </c>
      <c r="Q70" s="2">
        <f>IFERROR(VLOOKUP(A70,'Approved individual amount data'!$A$1:$S$135,17,FALSE),"")</f>
        <v>0</v>
      </c>
      <c r="R70" s="2">
        <f>IFERROR(VLOOKUP(A70,'Approved individual amount data'!$A$1:$S$135,18,FALSE),"")</f>
        <v>0</v>
      </c>
      <c r="S70" s="2">
        <f>IFERROR(VLOOKUP(A70,'Approved individual amount data'!$A$1:$S$135,19,FALSE),"")</f>
        <v>0</v>
      </c>
    </row>
    <row r="71" spans="1:19" x14ac:dyDescent="0.25">
      <c r="A71" t="str">
        <f>'Local multi year dist'!S71</f>
        <v>Lancaster County</v>
      </c>
      <c r="B71" s="2">
        <f>IFERROR(VLOOKUP(A71,'Approved individual amount data'!$A$1:$S$135,2,FALSE),"")</f>
        <v>0</v>
      </c>
      <c r="C71" s="2">
        <f>IFERROR(VLOOKUP(A71,'Approved individual amount data'!$A$1:$S$135,3,FALSE),"")</f>
        <v>0</v>
      </c>
      <c r="D71" s="2">
        <f>IFERROR(VLOOKUP(A71,'Approved individual amount data'!$A$1:$S$135,4,FALSE),"")</f>
        <v>0</v>
      </c>
      <c r="E71" s="2">
        <f>IFERROR(VLOOKUP(A71,'Approved individual amount data'!$A$1:$S$135,5,FALSE),"")</f>
        <v>0</v>
      </c>
      <c r="F71" s="2">
        <f>IFERROR(VLOOKUP(A71,'Approved individual amount data'!$A$1:$S$135,6,FALSE),"")</f>
        <v>0</v>
      </c>
      <c r="G71" s="2">
        <f>IFERROR(VLOOKUP(A71,'Approved individual amount data'!$A$1:$S$135,7,FALSE),"")</f>
        <v>0</v>
      </c>
      <c r="H71" s="2">
        <f>IFERROR(VLOOKUP(A71,'Approved individual amount data'!$A$1:$S$135,8,FALSE),"")</f>
        <v>0</v>
      </c>
      <c r="I71" s="2">
        <f>IFERROR(VLOOKUP(A71,'Approved individual amount data'!$A$1:$S$135,9,FALSE),"")</f>
        <v>0</v>
      </c>
      <c r="J71" s="2">
        <f>IFERROR(VLOOKUP(A71,'Approved individual amount data'!$A$1:$S$135,10,FALSE),"")</f>
        <v>0</v>
      </c>
      <c r="K71" s="2">
        <f>IFERROR(VLOOKUP(A71,'Approved individual amount data'!$A$1:$S$135,11,FALSE),"")</f>
        <v>0</v>
      </c>
      <c r="L71" s="2">
        <f>IFERROR(VLOOKUP(A71,'Approved individual amount data'!$A$1:$S$135,12,FALSE),"")</f>
        <v>0</v>
      </c>
      <c r="M71" s="2">
        <f>IFERROR(VLOOKUP(A71,'Approved individual amount data'!$A$1:$S$135,13,FALSE),"")</f>
        <v>0</v>
      </c>
      <c r="N71" s="2">
        <f>IFERROR(VLOOKUP(A71,'Approved individual amount data'!$A$1:$S$135,14,FALSE),"")</f>
        <v>0</v>
      </c>
      <c r="O71" s="2">
        <f>IFERROR(VLOOKUP(A71,'Approved individual amount data'!$A$1:$S$135,15,FALSE),"")</f>
        <v>0</v>
      </c>
      <c r="P71" s="2">
        <f>IFERROR(VLOOKUP(A71,'Approved individual amount data'!$A$1:$S$135,16,FALSE),"")</f>
        <v>0</v>
      </c>
      <c r="Q71" s="2">
        <f>IFERROR(VLOOKUP(A71,'Approved individual amount data'!$A$1:$S$135,17,FALSE),"")</f>
        <v>0</v>
      </c>
      <c r="R71" s="2">
        <f>IFERROR(VLOOKUP(A71,'Approved individual amount data'!$A$1:$S$135,18,FALSE),"")</f>
        <v>0</v>
      </c>
      <c r="S71" s="2">
        <f>IFERROR(VLOOKUP(A71,'Approved individual amount data'!$A$1:$S$135,19,FALSE),"")</f>
        <v>0</v>
      </c>
    </row>
    <row r="72" spans="1:19" x14ac:dyDescent="0.25">
      <c r="A72" t="str">
        <f>'Local multi year dist'!S72</f>
        <v>Lee County</v>
      </c>
      <c r="B72" s="2">
        <f>IFERROR(VLOOKUP(A72,'Approved individual amount data'!$A$1:$S$135,2,FALSE),"")</f>
        <v>0</v>
      </c>
      <c r="C72" s="2">
        <f>IFERROR(VLOOKUP(A72,'Approved individual amount data'!$A$1:$S$135,3,FALSE),"")</f>
        <v>0</v>
      </c>
      <c r="D72" s="2">
        <f>IFERROR(VLOOKUP(A72,'Approved individual amount data'!$A$1:$S$135,4,FALSE),"")</f>
        <v>13542</v>
      </c>
      <c r="E72" s="2">
        <f>IFERROR(VLOOKUP(A72,'Approved individual amount data'!$A$1:$S$135,5,FALSE),"")</f>
        <v>19899</v>
      </c>
      <c r="F72" s="2">
        <f>IFERROR(VLOOKUP(A72,'Approved individual amount data'!$A$1:$S$135,6,FALSE),"")</f>
        <v>0</v>
      </c>
      <c r="G72" s="2">
        <f>IFERROR(VLOOKUP(A72,'Approved individual amount data'!$A$1:$S$135,7,FALSE),"")</f>
        <v>0</v>
      </c>
      <c r="H72" s="2">
        <f>IFERROR(VLOOKUP(A72,'Approved individual amount data'!$A$1:$S$135,8,FALSE),"")</f>
        <v>0</v>
      </c>
      <c r="I72" s="2">
        <f>IFERROR(VLOOKUP(A72,'Approved individual amount data'!$A$1:$S$135,9,FALSE),"")</f>
        <v>0</v>
      </c>
      <c r="J72" s="2">
        <f>IFERROR(VLOOKUP(A72,'Approved individual amount data'!$A$1:$S$135,10,FALSE),"")</f>
        <v>0</v>
      </c>
      <c r="K72" s="2">
        <f>IFERROR(VLOOKUP(A72,'Approved individual amount data'!$A$1:$S$135,11,FALSE),"")</f>
        <v>0</v>
      </c>
      <c r="L72" s="2">
        <f>IFERROR(VLOOKUP(A72,'Approved individual amount data'!$A$1:$S$135,12,FALSE),"")</f>
        <v>0</v>
      </c>
      <c r="M72" s="2">
        <f>IFERROR(VLOOKUP(A72,'Approved individual amount data'!$A$1:$S$135,13,FALSE),"")</f>
        <v>0</v>
      </c>
      <c r="N72" s="2">
        <f>IFERROR(VLOOKUP(A72,'Approved individual amount data'!$A$1:$S$135,14,FALSE),"")</f>
        <v>0</v>
      </c>
      <c r="O72" s="2">
        <f>IFERROR(VLOOKUP(A72,'Approved individual amount data'!$A$1:$S$135,15,FALSE),"")</f>
        <v>0</v>
      </c>
      <c r="P72" s="2">
        <f>IFERROR(VLOOKUP(A72,'Approved individual amount data'!$A$1:$S$135,16,FALSE),"")</f>
        <v>0</v>
      </c>
      <c r="Q72" s="2">
        <f>IFERROR(VLOOKUP(A72,'Approved individual amount data'!$A$1:$S$135,17,FALSE),"")</f>
        <v>0</v>
      </c>
      <c r="R72" s="2">
        <f>IFERROR(VLOOKUP(A72,'Approved individual amount data'!$A$1:$S$135,18,FALSE),"")</f>
        <v>0</v>
      </c>
      <c r="S72" s="2">
        <f>IFERROR(VLOOKUP(A72,'Approved individual amount data'!$A$1:$S$135,19,FALSE),"")</f>
        <v>0</v>
      </c>
    </row>
    <row r="73" spans="1:19" x14ac:dyDescent="0.25">
      <c r="A73" t="str">
        <f>'Local multi year dist'!S73</f>
        <v>Lexington City</v>
      </c>
      <c r="B73" s="2">
        <f>IFERROR(VLOOKUP(A73,'Approved individual amount data'!$A$1:$S$135,2,FALSE),"")</f>
        <v>0</v>
      </c>
      <c r="C73" s="2">
        <f>IFERROR(VLOOKUP(A73,'Approved individual amount data'!$A$1:$S$135,3,FALSE),"")</f>
        <v>0</v>
      </c>
      <c r="D73" s="2">
        <f>IFERROR(VLOOKUP(A73,'Approved individual amount data'!$A$1:$S$135,4,FALSE),"")</f>
        <v>8663</v>
      </c>
      <c r="E73" s="2">
        <f>IFERROR(VLOOKUP(A73,'Approved individual amount data'!$A$1:$S$135,5,FALSE),"")</f>
        <v>3997</v>
      </c>
      <c r="F73" s="2">
        <f>IFERROR(VLOOKUP(A73,'Approved individual amount data'!$A$1:$S$135,6,FALSE),"")</f>
        <v>0</v>
      </c>
      <c r="G73" s="2">
        <f>IFERROR(VLOOKUP(A73,'Approved individual amount data'!$A$1:$S$135,7,FALSE),"")</f>
        <v>0</v>
      </c>
      <c r="H73" s="2">
        <f>IFERROR(VLOOKUP(A73,'Approved individual amount data'!$A$1:$S$135,8,FALSE),"")</f>
        <v>0</v>
      </c>
      <c r="I73" s="2">
        <f>IFERROR(VLOOKUP(A73,'Approved individual amount data'!$A$1:$S$135,9,FALSE),"")</f>
        <v>0</v>
      </c>
      <c r="J73" s="2">
        <f>IFERROR(VLOOKUP(A73,'Approved individual amount data'!$A$1:$S$135,10,FALSE),"")</f>
        <v>0</v>
      </c>
      <c r="K73" s="2">
        <f>IFERROR(VLOOKUP(A73,'Approved individual amount data'!$A$1:$S$135,11,FALSE),"")</f>
        <v>0</v>
      </c>
      <c r="L73" s="2">
        <f>IFERROR(VLOOKUP(A73,'Approved individual amount data'!$A$1:$S$135,12,FALSE),"")</f>
        <v>0</v>
      </c>
      <c r="M73" s="2">
        <f>IFERROR(VLOOKUP(A73,'Approved individual amount data'!$A$1:$S$135,13,FALSE),"")</f>
        <v>0</v>
      </c>
      <c r="N73" s="2">
        <f>IFERROR(VLOOKUP(A73,'Approved individual amount data'!$A$1:$S$135,14,FALSE),"")</f>
        <v>0</v>
      </c>
      <c r="O73" s="2">
        <f>IFERROR(VLOOKUP(A73,'Approved individual amount data'!$A$1:$S$135,15,FALSE),"")</f>
        <v>0</v>
      </c>
      <c r="P73" s="2">
        <f>IFERROR(VLOOKUP(A73,'Approved individual amount data'!$A$1:$S$135,16,FALSE),"")</f>
        <v>0</v>
      </c>
      <c r="Q73" s="2">
        <f>IFERROR(VLOOKUP(A73,'Approved individual amount data'!$A$1:$S$135,17,FALSE),"")</f>
        <v>0</v>
      </c>
      <c r="R73" s="2">
        <f>IFERROR(VLOOKUP(A73,'Approved individual amount data'!$A$1:$S$135,18,FALSE),"")</f>
        <v>0</v>
      </c>
      <c r="S73" s="2">
        <f>IFERROR(VLOOKUP(A73,'Approved individual amount data'!$A$1:$S$135,19,FALSE),"")</f>
        <v>0</v>
      </c>
    </row>
    <row r="74" spans="1:19" x14ac:dyDescent="0.25">
      <c r="A74" t="str">
        <f>'Local multi year dist'!S74</f>
        <v>Loudoun County</v>
      </c>
      <c r="B74" s="2">
        <f>IFERROR(VLOOKUP(A74,'Approved individual amount data'!$A$1:$S$135,2,FALSE),"")</f>
        <v>0</v>
      </c>
      <c r="C74" s="2">
        <f>IFERROR(VLOOKUP(A74,'Approved individual amount data'!$A$1:$S$135,3,FALSE),"")</f>
        <v>0</v>
      </c>
      <c r="D74" s="2">
        <f>IFERROR(VLOOKUP(A74,'Approved individual amount data'!$A$1:$S$135,4,FALSE),"")</f>
        <v>0</v>
      </c>
      <c r="E74" s="2">
        <f>IFERROR(VLOOKUP(A74,'Approved individual amount data'!$A$1:$S$135,5,FALSE),"")</f>
        <v>0</v>
      </c>
      <c r="F74" s="2">
        <f>IFERROR(VLOOKUP(A74,'Approved individual amount data'!$A$1:$S$135,6,FALSE),"")</f>
        <v>0</v>
      </c>
      <c r="G74" s="2">
        <f>IFERROR(VLOOKUP(A74,'Approved individual amount data'!$A$1:$S$135,7,FALSE),"")</f>
        <v>0</v>
      </c>
      <c r="H74" s="2">
        <f>IFERROR(VLOOKUP(A74,'Approved individual amount data'!$A$1:$S$135,8,FALSE),"")</f>
        <v>0</v>
      </c>
      <c r="I74" s="2">
        <f>IFERROR(VLOOKUP(A74,'Approved individual amount data'!$A$1:$S$135,9,FALSE),"")</f>
        <v>0</v>
      </c>
      <c r="J74" s="2">
        <f>IFERROR(VLOOKUP(A74,'Approved individual amount data'!$A$1:$S$135,10,FALSE),"")</f>
        <v>0</v>
      </c>
      <c r="K74" s="2">
        <f>IFERROR(VLOOKUP(A74,'Approved individual amount data'!$A$1:$S$135,11,FALSE),"")</f>
        <v>0</v>
      </c>
      <c r="L74" s="2">
        <f>IFERROR(VLOOKUP(A74,'Approved individual amount data'!$A$1:$S$135,12,FALSE),"")</f>
        <v>0</v>
      </c>
      <c r="M74" s="2">
        <f>IFERROR(VLOOKUP(A74,'Approved individual amount data'!$A$1:$S$135,13,FALSE),"")</f>
        <v>0</v>
      </c>
      <c r="N74" s="2">
        <f>IFERROR(VLOOKUP(A74,'Approved individual amount data'!$A$1:$S$135,14,FALSE),"")</f>
        <v>0</v>
      </c>
      <c r="O74" s="2">
        <f>IFERROR(VLOOKUP(A74,'Approved individual amount data'!$A$1:$S$135,15,FALSE),"")</f>
        <v>0</v>
      </c>
      <c r="P74" s="2">
        <f>IFERROR(VLOOKUP(A74,'Approved individual amount data'!$A$1:$S$135,16,FALSE),"")</f>
        <v>0</v>
      </c>
      <c r="Q74" s="2">
        <f>IFERROR(VLOOKUP(A74,'Approved individual amount data'!$A$1:$S$135,17,FALSE),"")</f>
        <v>0</v>
      </c>
      <c r="R74" s="2">
        <f>IFERROR(VLOOKUP(A74,'Approved individual amount data'!$A$1:$S$135,18,FALSE),"")</f>
        <v>0</v>
      </c>
      <c r="S74" s="2">
        <f>IFERROR(VLOOKUP(A74,'Approved individual amount data'!$A$1:$S$135,19,FALSE),"")</f>
        <v>0</v>
      </c>
    </row>
    <row r="75" spans="1:19" x14ac:dyDescent="0.25">
      <c r="A75" t="str">
        <f>'Local multi year dist'!S75</f>
        <v>Louisa County</v>
      </c>
      <c r="B75" s="2">
        <f>IFERROR(VLOOKUP(A75,'Approved individual amount data'!$A$1:$S$135,2,FALSE),"")</f>
        <v>0</v>
      </c>
      <c r="C75" s="2">
        <f>IFERROR(VLOOKUP(A75,'Approved individual amount data'!$A$1:$S$135,3,FALSE),"")</f>
        <v>0</v>
      </c>
      <c r="D75" s="2">
        <f>IFERROR(VLOOKUP(A75,'Approved individual amount data'!$A$1:$S$135,4,FALSE),"")</f>
        <v>48860</v>
      </c>
      <c r="E75" s="2">
        <f>IFERROR(VLOOKUP(A75,'Approved individual amount data'!$A$1:$S$135,5,FALSE),"")</f>
        <v>12259</v>
      </c>
      <c r="F75" s="2">
        <f>IFERROR(VLOOKUP(A75,'Approved individual amount data'!$A$1:$S$135,6,FALSE),"")</f>
        <v>0</v>
      </c>
      <c r="G75" s="2">
        <f>IFERROR(VLOOKUP(A75,'Approved individual amount data'!$A$1:$S$135,7,FALSE),"")</f>
        <v>0</v>
      </c>
      <c r="H75" s="2">
        <f>IFERROR(VLOOKUP(A75,'Approved individual amount data'!$A$1:$S$135,8,FALSE),"")</f>
        <v>0</v>
      </c>
      <c r="I75" s="2">
        <f>IFERROR(VLOOKUP(A75,'Approved individual amount data'!$A$1:$S$135,9,FALSE),"")</f>
        <v>0</v>
      </c>
      <c r="J75" s="2">
        <f>IFERROR(VLOOKUP(A75,'Approved individual amount data'!$A$1:$S$135,10,FALSE),"")</f>
        <v>0</v>
      </c>
      <c r="K75" s="2">
        <f>IFERROR(VLOOKUP(A75,'Approved individual amount data'!$A$1:$S$135,11,FALSE),"")</f>
        <v>0</v>
      </c>
      <c r="L75" s="2">
        <f>IFERROR(VLOOKUP(A75,'Approved individual amount data'!$A$1:$S$135,12,FALSE),"")</f>
        <v>0</v>
      </c>
      <c r="M75" s="2">
        <f>IFERROR(VLOOKUP(A75,'Approved individual amount data'!$A$1:$S$135,13,FALSE),"")</f>
        <v>0</v>
      </c>
      <c r="N75" s="2">
        <f>IFERROR(VLOOKUP(A75,'Approved individual amount data'!$A$1:$S$135,14,FALSE),"")</f>
        <v>0</v>
      </c>
      <c r="O75" s="2">
        <f>IFERROR(VLOOKUP(A75,'Approved individual amount data'!$A$1:$S$135,15,FALSE),"")</f>
        <v>0</v>
      </c>
      <c r="P75" s="2">
        <f>IFERROR(VLOOKUP(A75,'Approved individual amount data'!$A$1:$S$135,16,FALSE),"")</f>
        <v>0</v>
      </c>
      <c r="Q75" s="2">
        <f>IFERROR(VLOOKUP(A75,'Approved individual amount data'!$A$1:$S$135,17,FALSE),"")</f>
        <v>0</v>
      </c>
      <c r="R75" s="2">
        <f>IFERROR(VLOOKUP(A75,'Approved individual amount data'!$A$1:$S$135,18,FALSE),"")</f>
        <v>0</v>
      </c>
      <c r="S75" s="2">
        <f>IFERROR(VLOOKUP(A75,'Approved individual amount data'!$A$1:$S$135,19,FALSE),"")</f>
        <v>0</v>
      </c>
    </row>
    <row r="76" spans="1:19" x14ac:dyDescent="0.25">
      <c r="A76" t="str">
        <f>'Local multi year dist'!S76</f>
        <v>Lunenbeurg County</v>
      </c>
      <c r="B76" s="2">
        <f>IFERROR(VLOOKUP(A76,'Approved individual amount data'!$A$1:$S$135,2,FALSE),"")</f>
        <v>0</v>
      </c>
      <c r="C76" s="2">
        <f>IFERROR(VLOOKUP(A76,'Approved individual amount data'!$A$1:$S$135,3,FALSE),"")</f>
        <v>0</v>
      </c>
      <c r="D76" s="2">
        <f>IFERROR(VLOOKUP(A76,'Approved individual amount data'!$A$1:$S$135,4,FALSE),"")</f>
        <v>0</v>
      </c>
      <c r="E76" s="2">
        <f>IFERROR(VLOOKUP(A76,'Approved individual amount data'!$A$1:$S$135,5,FALSE),"")</f>
        <v>0</v>
      </c>
      <c r="F76" s="2">
        <f>IFERROR(VLOOKUP(A76,'Approved individual amount data'!$A$1:$S$135,6,FALSE),"")</f>
        <v>0</v>
      </c>
      <c r="G76" s="2">
        <f>IFERROR(VLOOKUP(A76,'Approved individual amount data'!$A$1:$S$135,7,FALSE),"")</f>
        <v>0</v>
      </c>
      <c r="H76" s="2">
        <f>IFERROR(VLOOKUP(A76,'Approved individual amount data'!$A$1:$S$135,8,FALSE),"")</f>
        <v>0</v>
      </c>
      <c r="I76" s="2">
        <f>IFERROR(VLOOKUP(A76,'Approved individual amount data'!$A$1:$S$135,9,FALSE),"")</f>
        <v>0</v>
      </c>
      <c r="J76" s="2">
        <f>IFERROR(VLOOKUP(A76,'Approved individual amount data'!$A$1:$S$135,10,FALSE),"")</f>
        <v>0</v>
      </c>
      <c r="K76" s="2">
        <f>IFERROR(VLOOKUP(A76,'Approved individual amount data'!$A$1:$S$135,11,FALSE),"")</f>
        <v>0</v>
      </c>
      <c r="L76" s="2">
        <f>IFERROR(VLOOKUP(A76,'Approved individual amount data'!$A$1:$S$135,12,FALSE),"")</f>
        <v>0</v>
      </c>
      <c r="M76" s="2">
        <f>IFERROR(VLOOKUP(A76,'Approved individual amount data'!$A$1:$S$135,13,FALSE),"")</f>
        <v>0</v>
      </c>
      <c r="N76" s="2">
        <f>IFERROR(VLOOKUP(A76,'Approved individual amount data'!$A$1:$S$135,14,FALSE),"")</f>
        <v>0</v>
      </c>
      <c r="O76" s="2">
        <f>IFERROR(VLOOKUP(A76,'Approved individual amount data'!$A$1:$S$135,15,FALSE),"")</f>
        <v>0</v>
      </c>
      <c r="P76" s="2">
        <f>IFERROR(VLOOKUP(A76,'Approved individual amount data'!$A$1:$S$135,16,FALSE),"")</f>
        <v>0</v>
      </c>
      <c r="Q76" s="2">
        <f>IFERROR(VLOOKUP(A76,'Approved individual amount data'!$A$1:$S$135,17,FALSE),"")</f>
        <v>0</v>
      </c>
      <c r="R76" s="2">
        <f>IFERROR(VLOOKUP(A76,'Approved individual amount data'!$A$1:$S$135,18,FALSE),"")</f>
        <v>0</v>
      </c>
      <c r="S76" s="2">
        <f>IFERROR(VLOOKUP(A76,'Approved individual amount data'!$A$1:$S$135,19,FALSE),"")</f>
        <v>0</v>
      </c>
    </row>
    <row r="77" spans="1:19" x14ac:dyDescent="0.25">
      <c r="A77" t="str">
        <f>'Local multi year dist'!S77</f>
        <v>Lynchburg City</v>
      </c>
      <c r="B77" s="2">
        <f>IFERROR(VLOOKUP(A77,'Approved individual amount data'!$A$1:$S$135,2,FALSE),"")</f>
        <v>0</v>
      </c>
      <c r="C77" s="2">
        <f>IFERROR(VLOOKUP(A77,'Approved individual amount data'!$A$1:$S$135,3,FALSE),"")</f>
        <v>0</v>
      </c>
      <c r="D77" s="2">
        <f>IFERROR(VLOOKUP(A77,'Approved individual amount data'!$A$1:$S$135,4,FALSE),"")</f>
        <v>0</v>
      </c>
      <c r="E77" s="2">
        <f>IFERROR(VLOOKUP(A77,'Approved individual amount data'!$A$1:$S$135,5,FALSE),"")</f>
        <v>0</v>
      </c>
      <c r="F77" s="2">
        <f>IFERROR(VLOOKUP(A77,'Approved individual amount data'!$A$1:$S$135,6,FALSE),"")</f>
        <v>0</v>
      </c>
      <c r="G77" s="2">
        <f>IFERROR(VLOOKUP(A77,'Approved individual amount data'!$A$1:$S$135,7,FALSE),"")</f>
        <v>0</v>
      </c>
      <c r="H77" s="2">
        <f>IFERROR(VLOOKUP(A77,'Approved individual amount data'!$A$1:$S$135,8,FALSE),"")</f>
        <v>0</v>
      </c>
      <c r="I77" s="2">
        <f>IFERROR(VLOOKUP(A77,'Approved individual amount data'!$A$1:$S$135,9,FALSE),"")</f>
        <v>0</v>
      </c>
      <c r="J77" s="2">
        <f>IFERROR(VLOOKUP(A77,'Approved individual amount data'!$A$1:$S$135,10,FALSE),"")</f>
        <v>0</v>
      </c>
      <c r="K77" s="2">
        <f>IFERROR(VLOOKUP(A77,'Approved individual amount data'!$A$1:$S$135,11,FALSE),"")</f>
        <v>0</v>
      </c>
      <c r="L77" s="2">
        <f>IFERROR(VLOOKUP(A77,'Approved individual amount data'!$A$1:$S$135,12,FALSE),"")</f>
        <v>0</v>
      </c>
      <c r="M77" s="2">
        <f>IFERROR(VLOOKUP(A77,'Approved individual amount data'!$A$1:$S$135,13,FALSE),"")</f>
        <v>0</v>
      </c>
      <c r="N77" s="2">
        <f>IFERROR(VLOOKUP(A77,'Approved individual amount data'!$A$1:$S$135,14,FALSE),"")</f>
        <v>0</v>
      </c>
      <c r="O77" s="2">
        <f>IFERROR(VLOOKUP(A77,'Approved individual amount data'!$A$1:$S$135,15,FALSE),"")</f>
        <v>0</v>
      </c>
      <c r="P77" s="2">
        <f>IFERROR(VLOOKUP(A77,'Approved individual amount data'!$A$1:$S$135,16,FALSE),"")</f>
        <v>0</v>
      </c>
      <c r="Q77" s="2">
        <f>IFERROR(VLOOKUP(A77,'Approved individual amount data'!$A$1:$S$135,17,FALSE),"")</f>
        <v>0</v>
      </c>
      <c r="R77" s="2">
        <f>IFERROR(VLOOKUP(A77,'Approved individual amount data'!$A$1:$S$135,18,FALSE),"")</f>
        <v>0</v>
      </c>
      <c r="S77" s="2">
        <f>IFERROR(VLOOKUP(A77,'Approved individual amount data'!$A$1:$S$135,19,FALSE),"")</f>
        <v>0</v>
      </c>
    </row>
    <row r="78" spans="1:19" x14ac:dyDescent="0.25">
      <c r="A78" t="str">
        <f>'Local multi year dist'!S78</f>
        <v>Madison County</v>
      </c>
      <c r="B78" s="2">
        <f>IFERROR(VLOOKUP(A78,'Approved individual amount data'!$A$1:$S$135,2,FALSE),"")</f>
        <v>0</v>
      </c>
      <c r="C78" s="2">
        <f>IFERROR(VLOOKUP(A78,'Approved individual amount data'!$A$1:$S$135,3,FALSE),"")</f>
        <v>0</v>
      </c>
      <c r="D78" s="2">
        <f>IFERROR(VLOOKUP(A78,'Approved individual amount data'!$A$1:$S$135,4,FALSE),"")</f>
        <v>0</v>
      </c>
      <c r="E78" s="2">
        <f>IFERROR(VLOOKUP(A78,'Approved individual amount data'!$A$1:$S$135,5,FALSE),"")</f>
        <v>0</v>
      </c>
      <c r="F78" s="2">
        <f>IFERROR(VLOOKUP(A78,'Approved individual amount data'!$A$1:$S$135,6,FALSE),"")</f>
        <v>0</v>
      </c>
      <c r="G78" s="2">
        <f>IFERROR(VLOOKUP(A78,'Approved individual amount data'!$A$1:$S$135,7,FALSE),"")</f>
        <v>0</v>
      </c>
      <c r="H78" s="2">
        <f>IFERROR(VLOOKUP(A78,'Approved individual amount data'!$A$1:$S$135,8,FALSE),"")</f>
        <v>0</v>
      </c>
      <c r="I78" s="2">
        <f>IFERROR(VLOOKUP(A78,'Approved individual amount data'!$A$1:$S$135,9,FALSE),"")</f>
        <v>0</v>
      </c>
      <c r="J78" s="2">
        <f>IFERROR(VLOOKUP(A78,'Approved individual amount data'!$A$1:$S$135,10,FALSE),"")</f>
        <v>0</v>
      </c>
      <c r="K78" s="2">
        <f>IFERROR(VLOOKUP(A78,'Approved individual amount data'!$A$1:$S$135,11,FALSE),"")</f>
        <v>0</v>
      </c>
      <c r="L78" s="2">
        <f>IFERROR(VLOOKUP(A78,'Approved individual amount data'!$A$1:$S$135,12,FALSE),"")</f>
        <v>0</v>
      </c>
      <c r="M78" s="2">
        <f>IFERROR(VLOOKUP(A78,'Approved individual amount data'!$A$1:$S$135,13,FALSE),"")</f>
        <v>0</v>
      </c>
      <c r="N78" s="2">
        <f>IFERROR(VLOOKUP(A78,'Approved individual amount data'!$A$1:$S$135,14,FALSE),"")</f>
        <v>0</v>
      </c>
      <c r="O78" s="2">
        <f>IFERROR(VLOOKUP(A78,'Approved individual amount data'!$A$1:$S$135,15,FALSE),"")</f>
        <v>0</v>
      </c>
      <c r="P78" s="2">
        <f>IFERROR(VLOOKUP(A78,'Approved individual amount data'!$A$1:$S$135,16,FALSE),"")</f>
        <v>0</v>
      </c>
      <c r="Q78" s="2">
        <f>IFERROR(VLOOKUP(A78,'Approved individual amount data'!$A$1:$S$135,17,FALSE),"")</f>
        <v>0</v>
      </c>
      <c r="R78" s="2">
        <f>IFERROR(VLOOKUP(A78,'Approved individual amount data'!$A$1:$S$135,18,FALSE),"")</f>
        <v>0</v>
      </c>
      <c r="S78" s="2">
        <f>IFERROR(VLOOKUP(A78,'Approved individual amount data'!$A$1:$S$135,19,FALSE),"")</f>
        <v>0</v>
      </c>
    </row>
    <row r="79" spans="1:19" x14ac:dyDescent="0.25">
      <c r="A79" t="str">
        <f>'Local multi year dist'!S79</f>
        <v>Manassas City</v>
      </c>
      <c r="B79" s="2">
        <f>IFERROR(VLOOKUP(A79,'Approved individual amount data'!$A$1:$S$135,2,FALSE),"")</f>
        <v>0</v>
      </c>
      <c r="C79" s="2">
        <f>IFERROR(VLOOKUP(A79,'Approved individual amount data'!$A$1:$S$135,3,FALSE),"")</f>
        <v>0</v>
      </c>
      <c r="D79" s="2">
        <f>IFERROR(VLOOKUP(A79,'Approved individual amount data'!$A$1:$S$135,4,FALSE),"")</f>
        <v>42069</v>
      </c>
      <c r="E79" s="2">
        <f>IFERROR(VLOOKUP(A79,'Approved individual amount data'!$A$1:$S$135,5,FALSE),"")</f>
        <v>6997</v>
      </c>
      <c r="F79" s="2">
        <f>IFERROR(VLOOKUP(A79,'Approved individual amount data'!$A$1:$S$135,6,FALSE),"")</f>
        <v>0</v>
      </c>
      <c r="G79" s="2">
        <f>IFERROR(VLOOKUP(A79,'Approved individual amount data'!$A$1:$S$135,7,FALSE),"")</f>
        <v>0</v>
      </c>
      <c r="H79" s="2">
        <f>IFERROR(VLOOKUP(A79,'Approved individual amount data'!$A$1:$S$135,8,FALSE),"")</f>
        <v>0</v>
      </c>
      <c r="I79" s="2">
        <f>IFERROR(VLOOKUP(A79,'Approved individual amount data'!$A$1:$S$135,9,FALSE),"")</f>
        <v>0</v>
      </c>
      <c r="J79" s="2">
        <f>IFERROR(VLOOKUP(A79,'Approved individual amount data'!$A$1:$S$135,10,FALSE),"")</f>
        <v>0</v>
      </c>
      <c r="K79" s="2">
        <f>IFERROR(VLOOKUP(A79,'Approved individual amount data'!$A$1:$S$135,11,FALSE),"")</f>
        <v>0</v>
      </c>
      <c r="L79" s="2">
        <f>IFERROR(VLOOKUP(A79,'Approved individual amount data'!$A$1:$S$135,12,FALSE),"")</f>
        <v>0</v>
      </c>
      <c r="M79" s="2">
        <f>IFERROR(VLOOKUP(A79,'Approved individual amount data'!$A$1:$S$135,13,FALSE),"")</f>
        <v>0</v>
      </c>
      <c r="N79" s="2">
        <f>IFERROR(VLOOKUP(A79,'Approved individual amount data'!$A$1:$S$135,14,FALSE),"")</f>
        <v>0</v>
      </c>
      <c r="O79" s="2">
        <f>IFERROR(VLOOKUP(A79,'Approved individual amount data'!$A$1:$S$135,15,FALSE),"")</f>
        <v>0</v>
      </c>
      <c r="P79" s="2">
        <f>IFERROR(VLOOKUP(A79,'Approved individual amount data'!$A$1:$S$135,16,FALSE),"")</f>
        <v>0</v>
      </c>
      <c r="Q79" s="2">
        <f>IFERROR(VLOOKUP(A79,'Approved individual amount data'!$A$1:$S$135,17,FALSE),"")</f>
        <v>0</v>
      </c>
      <c r="R79" s="2">
        <f>IFERROR(VLOOKUP(A79,'Approved individual amount data'!$A$1:$S$135,18,FALSE),"")</f>
        <v>0</v>
      </c>
      <c r="S79" s="2">
        <f>IFERROR(VLOOKUP(A79,'Approved individual amount data'!$A$1:$S$135,19,FALSE),"")</f>
        <v>0</v>
      </c>
    </row>
    <row r="80" spans="1:19" x14ac:dyDescent="0.25">
      <c r="A80" t="str">
        <f>'Local multi year dist'!S80</f>
        <v>Manassas Park City</v>
      </c>
      <c r="B80" s="2">
        <f>IFERROR(VLOOKUP(A80,'Approved individual amount data'!$A$1:$S$135,2,FALSE),"")</f>
        <v>0</v>
      </c>
      <c r="C80" s="2">
        <f>IFERROR(VLOOKUP(A80,'Approved individual amount data'!$A$1:$S$135,3,FALSE),"")</f>
        <v>0</v>
      </c>
      <c r="D80" s="2">
        <f>IFERROR(VLOOKUP(A80,'Approved individual amount data'!$A$1:$S$135,4,FALSE),"")</f>
        <v>0</v>
      </c>
      <c r="E80" s="2">
        <f>IFERROR(VLOOKUP(A80,'Approved individual amount data'!$A$1:$S$135,5,FALSE),"")</f>
        <v>0</v>
      </c>
      <c r="F80" s="2">
        <f>IFERROR(VLOOKUP(A80,'Approved individual amount data'!$A$1:$S$135,6,FALSE),"")</f>
        <v>0</v>
      </c>
      <c r="G80" s="2">
        <f>IFERROR(VLOOKUP(A80,'Approved individual amount data'!$A$1:$S$135,7,FALSE),"")</f>
        <v>0</v>
      </c>
      <c r="H80" s="2">
        <f>IFERROR(VLOOKUP(A80,'Approved individual amount data'!$A$1:$S$135,8,FALSE),"")</f>
        <v>0</v>
      </c>
      <c r="I80" s="2">
        <f>IFERROR(VLOOKUP(A80,'Approved individual amount data'!$A$1:$S$135,9,FALSE),"")</f>
        <v>0</v>
      </c>
      <c r="J80" s="2">
        <f>IFERROR(VLOOKUP(A80,'Approved individual amount data'!$A$1:$S$135,10,FALSE),"")</f>
        <v>0</v>
      </c>
      <c r="K80" s="2">
        <f>IFERROR(VLOOKUP(A80,'Approved individual amount data'!$A$1:$S$135,11,FALSE),"")</f>
        <v>0</v>
      </c>
      <c r="L80" s="2">
        <f>IFERROR(VLOOKUP(A80,'Approved individual amount data'!$A$1:$S$135,12,FALSE),"")</f>
        <v>0</v>
      </c>
      <c r="M80" s="2">
        <f>IFERROR(VLOOKUP(A80,'Approved individual amount data'!$A$1:$S$135,13,FALSE),"")</f>
        <v>0</v>
      </c>
      <c r="N80" s="2">
        <f>IFERROR(VLOOKUP(A80,'Approved individual amount data'!$A$1:$S$135,14,FALSE),"")</f>
        <v>0</v>
      </c>
      <c r="O80" s="2">
        <f>IFERROR(VLOOKUP(A80,'Approved individual amount data'!$A$1:$S$135,15,FALSE),"")</f>
        <v>0</v>
      </c>
      <c r="P80" s="2">
        <f>IFERROR(VLOOKUP(A80,'Approved individual amount data'!$A$1:$S$135,16,FALSE),"")</f>
        <v>0</v>
      </c>
      <c r="Q80" s="2">
        <f>IFERROR(VLOOKUP(A80,'Approved individual amount data'!$A$1:$S$135,17,FALSE),"")</f>
        <v>0</v>
      </c>
      <c r="R80" s="2">
        <f>IFERROR(VLOOKUP(A80,'Approved individual amount data'!$A$1:$S$135,18,FALSE),"")</f>
        <v>0</v>
      </c>
      <c r="S80" s="2">
        <f>IFERROR(VLOOKUP(A80,'Approved individual amount data'!$A$1:$S$135,19,FALSE),"")</f>
        <v>0</v>
      </c>
    </row>
    <row r="81" spans="1:19" x14ac:dyDescent="0.25">
      <c r="A81" t="str">
        <f>'Local multi year dist'!S81</f>
        <v>Martinsville City</v>
      </c>
      <c r="B81" s="2">
        <f>IFERROR(VLOOKUP(A81,'Approved individual amount data'!$A$1:$S$135,2,FALSE),"")</f>
        <v>0</v>
      </c>
      <c r="C81" s="2">
        <f>IFERROR(VLOOKUP(A81,'Approved individual amount data'!$A$1:$S$135,3,FALSE),"")</f>
        <v>0</v>
      </c>
      <c r="D81" s="2">
        <f>IFERROR(VLOOKUP(A81,'Approved individual amount data'!$A$1:$S$135,4,FALSE),"")</f>
        <v>0</v>
      </c>
      <c r="E81" s="2">
        <f>IFERROR(VLOOKUP(A81,'Approved individual amount data'!$A$1:$S$135,5,FALSE),"")</f>
        <v>0</v>
      </c>
      <c r="F81" s="2">
        <f>IFERROR(VLOOKUP(A81,'Approved individual amount data'!$A$1:$S$135,6,FALSE),"")</f>
        <v>0</v>
      </c>
      <c r="G81" s="2">
        <f>IFERROR(VLOOKUP(A81,'Approved individual amount data'!$A$1:$S$135,7,FALSE),"")</f>
        <v>0</v>
      </c>
      <c r="H81" s="2">
        <f>IFERROR(VLOOKUP(A81,'Approved individual amount data'!$A$1:$S$135,8,FALSE),"")</f>
        <v>0</v>
      </c>
      <c r="I81" s="2">
        <f>IFERROR(VLOOKUP(A81,'Approved individual amount data'!$A$1:$S$135,9,FALSE),"")</f>
        <v>0</v>
      </c>
      <c r="J81" s="2">
        <f>IFERROR(VLOOKUP(A81,'Approved individual amount data'!$A$1:$S$135,10,FALSE),"")</f>
        <v>0</v>
      </c>
      <c r="K81" s="2">
        <f>IFERROR(VLOOKUP(A81,'Approved individual amount data'!$A$1:$S$135,11,FALSE),"")</f>
        <v>0</v>
      </c>
      <c r="L81" s="2">
        <f>IFERROR(VLOOKUP(A81,'Approved individual amount data'!$A$1:$S$135,12,FALSE),"")</f>
        <v>0</v>
      </c>
      <c r="M81" s="2">
        <f>IFERROR(VLOOKUP(A81,'Approved individual amount data'!$A$1:$S$135,13,FALSE),"")</f>
        <v>0</v>
      </c>
      <c r="N81" s="2">
        <f>IFERROR(VLOOKUP(A81,'Approved individual amount data'!$A$1:$S$135,14,FALSE),"")</f>
        <v>0</v>
      </c>
      <c r="O81" s="2">
        <f>IFERROR(VLOOKUP(A81,'Approved individual amount data'!$A$1:$S$135,15,FALSE),"")</f>
        <v>0</v>
      </c>
      <c r="P81" s="2">
        <f>IFERROR(VLOOKUP(A81,'Approved individual amount data'!$A$1:$S$135,16,FALSE),"")</f>
        <v>0</v>
      </c>
      <c r="Q81" s="2">
        <f>IFERROR(VLOOKUP(A81,'Approved individual amount data'!$A$1:$S$135,17,FALSE),"")</f>
        <v>0</v>
      </c>
      <c r="R81" s="2">
        <f>IFERROR(VLOOKUP(A81,'Approved individual amount data'!$A$1:$S$135,18,FALSE),"")</f>
        <v>0</v>
      </c>
      <c r="S81" s="2">
        <f>IFERROR(VLOOKUP(A81,'Approved individual amount data'!$A$1:$S$135,19,FALSE),"")</f>
        <v>0</v>
      </c>
    </row>
    <row r="82" spans="1:19" x14ac:dyDescent="0.25">
      <c r="A82" t="str">
        <f>'Local multi year dist'!S82</f>
        <v>Mathews County</v>
      </c>
      <c r="B82" s="2">
        <f>IFERROR(VLOOKUP(A82,'Approved individual amount data'!$A$1:$S$135,2,FALSE),"")</f>
        <v>0</v>
      </c>
      <c r="C82" s="2">
        <f>IFERROR(VLOOKUP(A82,'Approved individual amount data'!$A$1:$S$135,3,FALSE),"")</f>
        <v>0</v>
      </c>
      <c r="D82" s="2">
        <f>IFERROR(VLOOKUP(A82,'Approved individual amount data'!$A$1:$S$135,4,FALSE),"")</f>
        <v>0</v>
      </c>
      <c r="E82" s="2">
        <f>IFERROR(VLOOKUP(A82,'Approved individual amount data'!$A$1:$S$135,5,FALSE),"")</f>
        <v>0</v>
      </c>
      <c r="F82" s="2">
        <f>IFERROR(VLOOKUP(A82,'Approved individual amount data'!$A$1:$S$135,6,FALSE),"")</f>
        <v>0</v>
      </c>
      <c r="G82" s="2">
        <f>IFERROR(VLOOKUP(A82,'Approved individual amount data'!$A$1:$S$135,7,FALSE),"")</f>
        <v>0</v>
      </c>
      <c r="H82" s="2">
        <f>IFERROR(VLOOKUP(A82,'Approved individual amount data'!$A$1:$S$135,8,FALSE),"")</f>
        <v>0</v>
      </c>
      <c r="I82" s="2">
        <f>IFERROR(VLOOKUP(A82,'Approved individual amount data'!$A$1:$S$135,9,FALSE),"")</f>
        <v>0</v>
      </c>
      <c r="J82" s="2">
        <f>IFERROR(VLOOKUP(A82,'Approved individual amount data'!$A$1:$S$135,10,FALSE),"")</f>
        <v>0</v>
      </c>
      <c r="K82" s="2">
        <f>IFERROR(VLOOKUP(A82,'Approved individual amount data'!$A$1:$S$135,11,FALSE),"")</f>
        <v>0</v>
      </c>
      <c r="L82" s="2">
        <f>IFERROR(VLOOKUP(A82,'Approved individual amount data'!$A$1:$S$135,12,FALSE),"")</f>
        <v>0</v>
      </c>
      <c r="M82" s="2">
        <f>IFERROR(VLOOKUP(A82,'Approved individual amount data'!$A$1:$S$135,13,FALSE),"")</f>
        <v>0</v>
      </c>
      <c r="N82" s="2">
        <f>IFERROR(VLOOKUP(A82,'Approved individual amount data'!$A$1:$S$135,14,FALSE),"")</f>
        <v>0</v>
      </c>
      <c r="O82" s="2">
        <f>IFERROR(VLOOKUP(A82,'Approved individual amount data'!$A$1:$S$135,15,FALSE),"")</f>
        <v>0</v>
      </c>
      <c r="P82" s="2">
        <f>IFERROR(VLOOKUP(A82,'Approved individual amount data'!$A$1:$S$135,16,FALSE),"")</f>
        <v>0</v>
      </c>
      <c r="Q82" s="2">
        <f>IFERROR(VLOOKUP(A82,'Approved individual amount data'!$A$1:$S$135,17,FALSE),"")</f>
        <v>0</v>
      </c>
      <c r="R82" s="2">
        <f>IFERROR(VLOOKUP(A82,'Approved individual amount data'!$A$1:$S$135,18,FALSE),"")</f>
        <v>0</v>
      </c>
      <c r="S82" s="2">
        <f>IFERROR(VLOOKUP(A82,'Approved individual amount data'!$A$1:$S$135,19,FALSE),"")</f>
        <v>0</v>
      </c>
    </row>
    <row r="83" spans="1:19" x14ac:dyDescent="0.25">
      <c r="A83" t="str">
        <f>'Local multi year dist'!S83</f>
        <v>Mecklenburg County</v>
      </c>
      <c r="B83" s="2">
        <f>IFERROR(VLOOKUP(A83,'Approved individual amount data'!$A$1:$S$135,2,FALSE),"")</f>
        <v>0</v>
      </c>
      <c r="C83" s="2">
        <f>IFERROR(VLOOKUP(A83,'Approved individual amount data'!$A$1:$S$135,3,FALSE),"")</f>
        <v>0</v>
      </c>
      <c r="D83" s="2">
        <f>IFERROR(VLOOKUP(A83,'Approved individual amount data'!$A$1:$S$135,4,FALSE),"")</f>
        <v>0</v>
      </c>
      <c r="E83" s="2">
        <f>IFERROR(VLOOKUP(A83,'Approved individual amount data'!$A$1:$S$135,5,FALSE),"")</f>
        <v>0</v>
      </c>
      <c r="F83" s="2">
        <f>IFERROR(VLOOKUP(A83,'Approved individual amount data'!$A$1:$S$135,6,FALSE),"")</f>
        <v>0</v>
      </c>
      <c r="G83" s="2">
        <f>IFERROR(VLOOKUP(A83,'Approved individual amount data'!$A$1:$S$135,7,FALSE),"")</f>
        <v>0</v>
      </c>
      <c r="H83" s="2">
        <f>IFERROR(VLOOKUP(A83,'Approved individual amount data'!$A$1:$S$135,8,FALSE),"")</f>
        <v>0</v>
      </c>
      <c r="I83" s="2">
        <f>IFERROR(VLOOKUP(A83,'Approved individual amount data'!$A$1:$S$135,9,FALSE),"")</f>
        <v>0</v>
      </c>
      <c r="J83" s="2">
        <f>IFERROR(VLOOKUP(A83,'Approved individual amount data'!$A$1:$S$135,10,FALSE),"")</f>
        <v>0</v>
      </c>
      <c r="K83" s="2">
        <f>IFERROR(VLOOKUP(A83,'Approved individual amount data'!$A$1:$S$135,11,FALSE),"")</f>
        <v>0</v>
      </c>
      <c r="L83" s="2">
        <f>IFERROR(VLOOKUP(A83,'Approved individual amount data'!$A$1:$S$135,12,FALSE),"")</f>
        <v>0</v>
      </c>
      <c r="M83" s="2">
        <f>IFERROR(VLOOKUP(A83,'Approved individual amount data'!$A$1:$S$135,13,FALSE),"")</f>
        <v>0</v>
      </c>
      <c r="N83" s="2">
        <f>IFERROR(VLOOKUP(A83,'Approved individual amount data'!$A$1:$S$135,14,FALSE),"")</f>
        <v>0</v>
      </c>
      <c r="O83" s="2">
        <f>IFERROR(VLOOKUP(A83,'Approved individual amount data'!$A$1:$S$135,15,FALSE),"")</f>
        <v>0</v>
      </c>
      <c r="P83" s="2">
        <f>IFERROR(VLOOKUP(A83,'Approved individual amount data'!$A$1:$S$135,16,FALSE),"")</f>
        <v>0</v>
      </c>
      <c r="Q83" s="2">
        <f>IFERROR(VLOOKUP(A83,'Approved individual amount data'!$A$1:$S$135,17,FALSE),"")</f>
        <v>0</v>
      </c>
      <c r="R83" s="2">
        <f>IFERROR(VLOOKUP(A83,'Approved individual amount data'!$A$1:$S$135,18,FALSE),"")</f>
        <v>0</v>
      </c>
      <c r="S83" s="2">
        <f>IFERROR(VLOOKUP(A83,'Approved individual amount data'!$A$1:$S$135,19,FALSE),"")</f>
        <v>0</v>
      </c>
    </row>
    <row r="84" spans="1:19" x14ac:dyDescent="0.25">
      <c r="A84" t="str">
        <f>'Local multi year dist'!S84</f>
        <v>Middlesex County</v>
      </c>
      <c r="B84" s="2">
        <f>IFERROR(VLOOKUP(A84,'Approved individual amount data'!$A$1:$S$135,2,FALSE),"")</f>
        <v>0</v>
      </c>
      <c r="C84" s="2">
        <f>IFERROR(VLOOKUP(A84,'Approved individual amount data'!$A$1:$S$135,3,FALSE),"")</f>
        <v>0</v>
      </c>
      <c r="D84" s="2">
        <f>IFERROR(VLOOKUP(A84,'Approved individual amount data'!$A$1:$S$135,4,FALSE),"")</f>
        <v>0</v>
      </c>
      <c r="E84" s="2">
        <f>IFERROR(VLOOKUP(A84,'Approved individual amount data'!$A$1:$S$135,5,FALSE),"")</f>
        <v>0</v>
      </c>
      <c r="F84" s="2">
        <f>IFERROR(VLOOKUP(A84,'Approved individual amount data'!$A$1:$S$135,6,FALSE),"")</f>
        <v>0</v>
      </c>
      <c r="G84" s="2">
        <f>IFERROR(VLOOKUP(A84,'Approved individual amount data'!$A$1:$S$135,7,FALSE),"")</f>
        <v>0</v>
      </c>
      <c r="H84" s="2">
        <f>IFERROR(VLOOKUP(A84,'Approved individual amount data'!$A$1:$S$135,8,FALSE),"")</f>
        <v>0</v>
      </c>
      <c r="I84" s="2">
        <f>IFERROR(VLOOKUP(A84,'Approved individual amount data'!$A$1:$S$135,9,FALSE),"")</f>
        <v>0</v>
      </c>
      <c r="J84" s="2">
        <f>IFERROR(VLOOKUP(A84,'Approved individual amount data'!$A$1:$S$135,10,FALSE),"")</f>
        <v>0</v>
      </c>
      <c r="K84" s="2">
        <f>IFERROR(VLOOKUP(A84,'Approved individual amount data'!$A$1:$S$135,11,FALSE),"")</f>
        <v>0</v>
      </c>
      <c r="L84" s="2">
        <f>IFERROR(VLOOKUP(A84,'Approved individual amount data'!$A$1:$S$135,12,FALSE),"")</f>
        <v>0</v>
      </c>
      <c r="M84" s="2">
        <f>IFERROR(VLOOKUP(A84,'Approved individual amount data'!$A$1:$S$135,13,FALSE),"")</f>
        <v>0</v>
      </c>
      <c r="N84" s="2">
        <f>IFERROR(VLOOKUP(A84,'Approved individual amount data'!$A$1:$S$135,14,FALSE),"")</f>
        <v>0</v>
      </c>
      <c r="O84" s="2">
        <f>IFERROR(VLOOKUP(A84,'Approved individual amount data'!$A$1:$S$135,15,FALSE),"")</f>
        <v>0</v>
      </c>
      <c r="P84" s="2">
        <f>IFERROR(VLOOKUP(A84,'Approved individual amount data'!$A$1:$S$135,16,FALSE),"")</f>
        <v>0</v>
      </c>
      <c r="Q84" s="2">
        <f>IFERROR(VLOOKUP(A84,'Approved individual amount data'!$A$1:$S$135,17,FALSE),"")</f>
        <v>0</v>
      </c>
      <c r="R84" s="2">
        <f>IFERROR(VLOOKUP(A84,'Approved individual amount data'!$A$1:$S$135,18,FALSE),"")</f>
        <v>0</v>
      </c>
      <c r="S84" s="2">
        <f>IFERROR(VLOOKUP(A84,'Approved individual amount data'!$A$1:$S$135,19,FALSE),"")</f>
        <v>0</v>
      </c>
    </row>
    <row r="85" spans="1:19" x14ac:dyDescent="0.25">
      <c r="A85" t="str">
        <f>'Local multi year dist'!S85</f>
        <v>Montgomery County</v>
      </c>
      <c r="B85" s="2">
        <f>IFERROR(VLOOKUP(A85,'Approved individual amount data'!$A$1:$S$135,2,FALSE),"")</f>
        <v>0</v>
      </c>
      <c r="C85" s="2">
        <f>IFERROR(VLOOKUP(A85,'Approved individual amount data'!$A$1:$S$135,3,FALSE),"")</f>
        <v>0</v>
      </c>
      <c r="D85" s="2">
        <f>IFERROR(VLOOKUP(A85,'Approved individual amount data'!$A$1:$S$135,4,FALSE),"")</f>
        <v>131126</v>
      </c>
      <c r="E85" s="2">
        <f>IFERROR(VLOOKUP(A85,'Approved individual amount data'!$A$1:$S$135,5,FALSE),"")</f>
        <v>23633</v>
      </c>
      <c r="F85" s="2">
        <f>IFERROR(VLOOKUP(A85,'Approved individual amount data'!$A$1:$S$135,6,FALSE),"")</f>
        <v>0</v>
      </c>
      <c r="G85" s="2">
        <f>IFERROR(VLOOKUP(A85,'Approved individual amount data'!$A$1:$S$135,7,FALSE),"")</f>
        <v>0</v>
      </c>
      <c r="H85" s="2">
        <f>IFERROR(VLOOKUP(A85,'Approved individual amount data'!$A$1:$S$135,8,FALSE),"")</f>
        <v>0</v>
      </c>
      <c r="I85" s="2">
        <f>IFERROR(VLOOKUP(A85,'Approved individual amount data'!$A$1:$S$135,9,FALSE),"")</f>
        <v>0</v>
      </c>
      <c r="J85" s="2">
        <f>IFERROR(VLOOKUP(A85,'Approved individual amount data'!$A$1:$S$135,10,FALSE),"")</f>
        <v>0</v>
      </c>
      <c r="K85" s="2">
        <f>IFERROR(VLOOKUP(A85,'Approved individual amount data'!$A$1:$S$135,11,FALSE),"")</f>
        <v>0</v>
      </c>
      <c r="L85" s="2">
        <f>IFERROR(VLOOKUP(A85,'Approved individual amount data'!$A$1:$S$135,12,FALSE),"")</f>
        <v>0</v>
      </c>
      <c r="M85" s="2">
        <f>IFERROR(VLOOKUP(A85,'Approved individual amount data'!$A$1:$S$135,13,FALSE),"")</f>
        <v>0</v>
      </c>
      <c r="N85" s="2">
        <f>IFERROR(VLOOKUP(A85,'Approved individual amount data'!$A$1:$S$135,14,FALSE),"")</f>
        <v>0</v>
      </c>
      <c r="O85" s="2">
        <f>IFERROR(VLOOKUP(A85,'Approved individual amount data'!$A$1:$S$135,15,FALSE),"")</f>
        <v>0</v>
      </c>
      <c r="P85" s="2">
        <f>IFERROR(VLOOKUP(A85,'Approved individual amount data'!$A$1:$S$135,16,FALSE),"")</f>
        <v>0</v>
      </c>
      <c r="Q85" s="2">
        <f>IFERROR(VLOOKUP(A85,'Approved individual amount data'!$A$1:$S$135,17,FALSE),"")</f>
        <v>0</v>
      </c>
      <c r="R85" s="2">
        <f>IFERROR(VLOOKUP(A85,'Approved individual amount data'!$A$1:$S$135,18,FALSE),"")</f>
        <v>0</v>
      </c>
      <c r="S85" s="2">
        <f>IFERROR(VLOOKUP(A85,'Approved individual amount data'!$A$1:$S$135,19,FALSE),"")</f>
        <v>0</v>
      </c>
    </row>
    <row r="86" spans="1:19" x14ac:dyDescent="0.25">
      <c r="A86" t="str">
        <f>'Local multi year dist'!S86</f>
        <v>Nelson County</v>
      </c>
      <c r="B86" s="2">
        <f>IFERROR(VLOOKUP(A86,'Approved individual amount data'!$A$1:$S$135,2,FALSE),"")</f>
        <v>0</v>
      </c>
      <c r="C86" s="2">
        <f>IFERROR(VLOOKUP(A86,'Approved individual amount data'!$A$1:$S$135,3,FALSE),"")</f>
        <v>0</v>
      </c>
      <c r="D86" s="2">
        <f>IFERROR(VLOOKUP(A86,'Approved individual amount data'!$A$1:$S$135,4,FALSE),"")</f>
        <v>0</v>
      </c>
      <c r="E86" s="2">
        <f>IFERROR(VLOOKUP(A86,'Approved individual amount data'!$A$1:$S$135,5,FALSE),"")</f>
        <v>0</v>
      </c>
      <c r="F86" s="2">
        <f>IFERROR(VLOOKUP(A86,'Approved individual amount data'!$A$1:$S$135,6,FALSE),"")</f>
        <v>0</v>
      </c>
      <c r="G86" s="2">
        <f>IFERROR(VLOOKUP(A86,'Approved individual amount data'!$A$1:$S$135,7,FALSE),"")</f>
        <v>0</v>
      </c>
      <c r="H86" s="2">
        <f>IFERROR(VLOOKUP(A86,'Approved individual amount data'!$A$1:$S$135,8,FALSE),"")</f>
        <v>0</v>
      </c>
      <c r="I86" s="2">
        <f>IFERROR(VLOOKUP(A86,'Approved individual amount data'!$A$1:$S$135,9,FALSE),"")</f>
        <v>0</v>
      </c>
      <c r="J86" s="2">
        <f>IFERROR(VLOOKUP(A86,'Approved individual amount data'!$A$1:$S$135,10,FALSE),"")</f>
        <v>0</v>
      </c>
      <c r="K86" s="2">
        <f>IFERROR(VLOOKUP(A86,'Approved individual amount data'!$A$1:$S$135,11,FALSE),"")</f>
        <v>0</v>
      </c>
      <c r="L86" s="2">
        <f>IFERROR(VLOOKUP(A86,'Approved individual amount data'!$A$1:$S$135,12,FALSE),"")</f>
        <v>0</v>
      </c>
      <c r="M86" s="2">
        <f>IFERROR(VLOOKUP(A86,'Approved individual amount data'!$A$1:$S$135,13,FALSE),"")</f>
        <v>0</v>
      </c>
      <c r="N86" s="2">
        <f>IFERROR(VLOOKUP(A86,'Approved individual amount data'!$A$1:$S$135,14,FALSE),"")</f>
        <v>0</v>
      </c>
      <c r="O86" s="2">
        <f>IFERROR(VLOOKUP(A86,'Approved individual amount data'!$A$1:$S$135,15,FALSE),"")</f>
        <v>0</v>
      </c>
      <c r="P86" s="2">
        <f>IFERROR(VLOOKUP(A86,'Approved individual amount data'!$A$1:$S$135,16,FALSE),"")</f>
        <v>0</v>
      </c>
      <c r="Q86" s="2">
        <f>IFERROR(VLOOKUP(A86,'Approved individual amount data'!$A$1:$S$135,17,FALSE),"")</f>
        <v>0</v>
      </c>
      <c r="R86" s="2">
        <f>IFERROR(VLOOKUP(A86,'Approved individual amount data'!$A$1:$S$135,18,FALSE),"")</f>
        <v>0</v>
      </c>
      <c r="S86" s="2">
        <f>IFERROR(VLOOKUP(A86,'Approved individual amount data'!$A$1:$S$135,19,FALSE),"")</f>
        <v>0</v>
      </c>
    </row>
    <row r="87" spans="1:19" x14ac:dyDescent="0.25">
      <c r="A87" t="str">
        <f>'Local multi year dist'!S87</f>
        <v>New Kent County</v>
      </c>
      <c r="B87" s="2">
        <f>IFERROR(VLOOKUP(A87,'Approved individual amount data'!$A$1:$S$135,2,FALSE),"")</f>
        <v>0</v>
      </c>
      <c r="C87" s="2">
        <f>IFERROR(VLOOKUP(A87,'Approved individual amount data'!$A$1:$S$135,3,FALSE),"")</f>
        <v>0</v>
      </c>
      <c r="D87" s="2">
        <f>IFERROR(VLOOKUP(A87,'Approved individual amount data'!$A$1:$S$135,4,FALSE),"")</f>
        <v>0</v>
      </c>
      <c r="E87" s="2">
        <f>IFERROR(VLOOKUP(A87,'Approved individual amount data'!$A$1:$S$135,5,FALSE),"")</f>
        <v>0</v>
      </c>
      <c r="F87" s="2">
        <f>IFERROR(VLOOKUP(A87,'Approved individual amount data'!$A$1:$S$135,6,FALSE),"")</f>
        <v>0</v>
      </c>
      <c r="G87" s="2">
        <f>IFERROR(VLOOKUP(A87,'Approved individual amount data'!$A$1:$S$135,7,FALSE),"")</f>
        <v>0</v>
      </c>
      <c r="H87" s="2">
        <f>IFERROR(VLOOKUP(A87,'Approved individual amount data'!$A$1:$S$135,8,FALSE),"")</f>
        <v>0</v>
      </c>
      <c r="I87" s="2">
        <f>IFERROR(VLOOKUP(A87,'Approved individual amount data'!$A$1:$S$135,9,FALSE),"")</f>
        <v>0</v>
      </c>
      <c r="J87" s="2">
        <f>IFERROR(VLOOKUP(A87,'Approved individual amount data'!$A$1:$S$135,10,FALSE),"")</f>
        <v>0</v>
      </c>
      <c r="K87" s="2">
        <f>IFERROR(VLOOKUP(A87,'Approved individual amount data'!$A$1:$S$135,11,FALSE),"")</f>
        <v>0</v>
      </c>
      <c r="L87" s="2">
        <f>IFERROR(VLOOKUP(A87,'Approved individual amount data'!$A$1:$S$135,12,FALSE),"")</f>
        <v>0</v>
      </c>
      <c r="M87" s="2">
        <f>IFERROR(VLOOKUP(A87,'Approved individual amount data'!$A$1:$S$135,13,FALSE),"")</f>
        <v>0</v>
      </c>
      <c r="N87" s="2">
        <f>IFERROR(VLOOKUP(A87,'Approved individual amount data'!$A$1:$S$135,14,FALSE),"")</f>
        <v>0</v>
      </c>
      <c r="O87" s="2">
        <f>IFERROR(VLOOKUP(A87,'Approved individual amount data'!$A$1:$S$135,15,FALSE),"")</f>
        <v>0</v>
      </c>
      <c r="P87" s="2">
        <f>IFERROR(VLOOKUP(A87,'Approved individual amount data'!$A$1:$S$135,16,FALSE),"")</f>
        <v>0</v>
      </c>
      <c r="Q87" s="2">
        <f>IFERROR(VLOOKUP(A87,'Approved individual amount data'!$A$1:$S$135,17,FALSE),"")</f>
        <v>0</v>
      </c>
      <c r="R87" s="2">
        <f>IFERROR(VLOOKUP(A87,'Approved individual amount data'!$A$1:$S$135,18,FALSE),"")</f>
        <v>0</v>
      </c>
      <c r="S87" s="2">
        <f>IFERROR(VLOOKUP(A87,'Approved individual amount data'!$A$1:$S$135,19,FALSE),"")</f>
        <v>0</v>
      </c>
    </row>
    <row r="88" spans="1:19" x14ac:dyDescent="0.25">
      <c r="A88" t="str">
        <f>'Local multi year dist'!S88</f>
        <v>Newport News City</v>
      </c>
      <c r="B88" s="2">
        <f>IFERROR(VLOOKUP(A88,'Approved individual amount data'!$A$1:$S$135,2,FALSE),"")</f>
        <v>0</v>
      </c>
      <c r="C88" s="2">
        <f>IFERROR(VLOOKUP(A88,'Approved individual amount data'!$A$1:$S$135,3,FALSE),"")</f>
        <v>0</v>
      </c>
      <c r="D88" s="2">
        <f>IFERROR(VLOOKUP(A88,'Approved individual amount data'!$A$1:$S$135,4,FALSE),"")</f>
        <v>0</v>
      </c>
      <c r="E88" s="2">
        <f>IFERROR(VLOOKUP(A88,'Approved individual amount data'!$A$1:$S$135,5,FALSE),"")</f>
        <v>236600</v>
      </c>
      <c r="F88" s="2">
        <f>IFERROR(VLOOKUP(A88,'Approved individual amount data'!$A$1:$S$135,6,FALSE),"")</f>
        <v>0</v>
      </c>
      <c r="G88" s="2">
        <f>IFERROR(VLOOKUP(A88,'Approved individual amount data'!$A$1:$S$135,7,FALSE),"")</f>
        <v>0</v>
      </c>
      <c r="H88" s="2">
        <f>IFERROR(VLOOKUP(A88,'Approved individual amount data'!$A$1:$S$135,8,FALSE),"")</f>
        <v>0</v>
      </c>
      <c r="I88" s="2">
        <f>IFERROR(VLOOKUP(A88,'Approved individual amount data'!$A$1:$S$135,9,FALSE),"")</f>
        <v>0</v>
      </c>
      <c r="J88" s="2">
        <f>IFERROR(VLOOKUP(A88,'Approved individual amount data'!$A$1:$S$135,10,FALSE),"")</f>
        <v>0</v>
      </c>
      <c r="K88" s="2">
        <f>IFERROR(VLOOKUP(A88,'Approved individual amount data'!$A$1:$S$135,11,FALSE),"")</f>
        <v>0</v>
      </c>
      <c r="L88" s="2">
        <f>IFERROR(VLOOKUP(A88,'Approved individual amount data'!$A$1:$S$135,12,FALSE),"")</f>
        <v>0</v>
      </c>
      <c r="M88" s="2">
        <f>IFERROR(VLOOKUP(A88,'Approved individual amount data'!$A$1:$S$135,13,FALSE),"")</f>
        <v>0</v>
      </c>
      <c r="N88" s="2">
        <f>IFERROR(VLOOKUP(A88,'Approved individual amount data'!$A$1:$S$135,14,FALSE),"")</f>
        <v>0</v>
      </c>
      <c r="O88" s="2">
        <f>IFERROR(VLOOKUP(A88,'Approved individual amount data'!$A$1:$S$135,15,FALSE),"")</f>
        <v>0</v>
      </c>
      <c r="P88" s="2">
        <f>IFERROR(VLOOKUP(A88,'Approved individual amount data'!$A$1:$S$135,16,FALSE),"")</f>
        <v>0</v>
      </c>
      <c r="Q88" s="2">
        <f>IFERROR(VLOOKUP(A88,'Approved individual amount data'!$A$1:$S$135,17,FALSE),"")</f>
        <v>0</v>
      </c>
      <c r="R88" s="2">
        <f>IFERROR(VLOOKUP(A88,'Approved individual amount data'!$A$1:$S$135,18,FALSE),"")</f>
        <v>0</v>
      </c>
      <c r="S88" s="2">
        <f>IFERROR(VLOOKUP(A88,'Approved individual amount data'!$A$1:$S$135,19,FALSE),"")</f>
        <v>0</v>
      </c>
    </row>
    <row r="89" spans="1:19" x14ac:dyDescent="0.25">
      <c r="A89" t="str">
        <f>'Local multi year dist'!S89</f>
        <v>Norfolk City</v>
      </c>
      <c r="B89" s="2">
        <f>IFERROR(VLOOKUP(A89,'Approved individual amount data'!$A$1:$S$135,2,FALSE),"")</f>
        <v>0</v>
      </c>
      <c r="C89" s="2">
        <f>IFERROR(VLOOKUP(A89,'Approved individual amount data'!$A$1:$S$135,3,FALSE),"")</f>
        <v>0</v>
      </c>
      <c r="D89" s="2">
        <f>IFERROR(VLOOKUP(A89,'Approved individual amount data'!$A$1:$S$135,4,FALSE),"")</f>
        <v>200520</v>
      </c>
      <c r="E89" s="2">
        <f>IFERROR(VLOOKUP(A89,'Approved individual amount data'!$A$1:$S$135,5,FALSE),"")</f>
        <v>0</v>
      </c>
      <c r="F89" s="2">
        <f>IFERROR(VLOOKUP(A89,'Approved individual amount data'!$A$1:$S$135,6,FALSE),"")</f>
        <v>0</v>
      </c>
      <c r="G89" s="2">
        <f>IFERROR(VLOOKUP(A89,'Approved individual amount data'!$A$1:$S$135,7,FALSE),"")</f>
        <v>0</v>
      </c>
      <c r="H89" s="2">
        <f>IFERROR(VLOOKUP(A89,'Approved individual amount data'!$A$1:$S$135,8,FALSE),"")</f>
        <v>0</v>
      </c>
      <c r="I89" s="2">
        <f>IFERROR(VLOOKUP(A89,'Approved individual amount data'!$A$1:$S$135,9,FALSE),"")</f>
        <v>0</v>
      </c>
      <c r="J89" s="2">
        <f>IFERROR(VLOOKUP(A89,'Approved individual amount data'!$A$1:$S$135,10,FALSE),"")</f>
        <v>0</v>
      </c>
      <c r="K89" s="2">
        <f>IFERROR(VLOOKUP(A89,'Approved individual amount data'!$A$1:$S$135,11,FALSE),"")</f>
        <v>0</v>
      </c>
      <c r="L89" s="2">
        <f>IFERROR(VLOOKUP(A89,'Approved individual amount data'!$A$1:$S$135,12,FALSE),"")</f>
        <v>0</v>
      </c>
      <c r="M89" s="2">
        <f>IFERROR(VLOOKUP(A89,'Approved individual amount data'!$A$1:$S$135,13,FALSE),"")</f>
        <v>0</v>
      </c>
      <c r="N89" s="2">
        <f>IFERROR(VLOOKUP(A89,'Approved individual amount data'!$A$1:$S$135,14,FALSE),"")</f>
        <v>0</v>
      </c>
      <c r="O89" s="2">
        <f>IFERROR(VLOOKUP(A89,'Approved individual amount data'!$A$1:$S$135,15,FALSE),"")</f>
        <v>0</v>
      </c>
      <c r="P89" s="2">
        <f>IFERROR(VLOOKUP(A89,'Approved individual amount data'!$A$1:$S$135,16,FALSE),"")</f>
        <v>0</v>
      </c>
      <c r="Q89" s="2">
        <f>IFERROR(VLOOKUP(A89,'Approved individual amount data'!$A$1:$S$135,17,FALSE),"")</f>
        <v>0</v>
      </c>
      <c r="R89" s="2">
        <f>IFERROR(VLOOKUP(A89,'Approved individual amount data'!$A$1:$S$135,18,FALSE),"")</f>
        <v>0</v>
      </c>
      <c r="S89" s="2">
        <f>IFERROR(VLOOKUP(A89,'Approved individual amount data'!$A$1:$S$135,19,FALSE),"")</f>
        <v>0</v>
      </c>
    </row>
    <row r="90" spans="1:19" x14ac:dyDescent="0.25">
      <c r="A90" t="str">
        <f>'Local multi year dist'!S90</f>
        <v>Northampton County</v>
      </c>
      <c r="B90" s="2">
        <f>IFERROR(VLOOKUP(A90,'Approved individual amount data'!$A$1:$S$135,2,FALSE),"")</f>
        <v>0</v>
      </c>
      <c r="C90" s="2">
        <f>IFERROR(VLOOKUP(A90,'Approved individual amount data'!$A$1:$S$135,3,FALSE),"")</f>
        <v>0</v>
      </c>
      <c r="D90" s="2">
        <f>IFERROR(VLOOKUP(A90,'Approved individual amount data'!$A$1:$S$135,4,FALSE),"")</f>
        <v>0</v>
      </c>
      <c r="E90" s="2">
        <f>IFERROR(VLOOKUP(A90,'Approved individual amount data'!$A$1:$S$135,5,FALSE),"")</f>
        <v>9239</v>
      </c>
      <c r="F90" s="2">
        <f>IFERROR(VLOOKUP(A90,'Approved individual amount data'!$A$1:$S$135,6,FALSE),"")</f>
        <v>0</v>
      </c>
      <c r="G90" s="2">
        <f>IFERROR(VLOOKUP(A90,'Approved individual amount data'!$A$1:$S$135,7,FALSE),"")</f>
        <v>0</v>
      </c>
      <c r="H90" s="2">
        <f>IFERROR(VLOOKUP(A90,'Approved individual amount data'!$A$1:$S$135,8,FALSE),"")</f>
        <v>0</v>
      </c>
      <c r="I90" s="2">
        <f>IFERROR(VLOOKUP(A90,'Approved individual amount data'!$A$1:$S$135,9,FALSE),"")</f>
        <v>0</v>
      </c>
      <c r="J90" s="2">
        <f>IFERROR(VLOOKUP(A90,'Approved individual amount data'!$A$1:$S$135,10,FALSE),"")</f>
        <v>0</v>
      </c>
      <c r="K90" s="2">
        <f>IFERROR(VLOOKUP(A90,'Approved individual amount data'!$A$1:$S$135,11,FALSE),"")</f>
        <v>0</v>
      </c>
      <c r="L90" s="2">
        <f>IFERROR(VLOOKUP(A90,'Approved individual amount data'!$A$1:$S$135,12,FALSE),"")</f>
        <v>0</v>
      </c>
      <c r="M90" s="2">
        <f>IFERROR(VLOOKUP(A90,'Approved individual amount data'!$A$1:$S$135,13,FALSE),"")</f>
        <v>0</v>
      </c>
      <c r="N90" s="2">
        <f>IFERROR(VLOOKUP(A90,'Approved individual amount data'!$A$1:$S$135,14,FALSE),"")</f>
        <v>0</v>
      </c>
      <c r="O90" s="2">
        <f>IFERROR(VLOOKUP(A90,'Approved individual amount data'!$A$1:$S$135,15,FALSE),"")</f>
        <v>0</v>
      </c>
      <c r="P90" s="2">
        <f>IFERROR(VLOOKUP(A90,'Approved individual amount data'!$A$1:$S$135,16,FALSE),"")</f>
        <v>0</v>
      </c>
      <c r="Q90" s="2">
        <f>IFERROR(VLOOKUP(A90,'Approved individual amount data'!$A$1:$S$135,17,FALSE),"")</f>
        <v>0</v>
      </c>
      <c r="R90" s="2">
        <f>IFERROR(VLOOKUP(A90,'Approved individual amount data'!$A$1:$S$135,18,FALSE),"")</f>
        <v>0</v>
      </c>
      <c r="S90" s="2">
        <f>IFERROR(VLOOKUP(A90,'Approved individual amount data'!$A$1:$S$135,19,FALSE),"")</f>
        <v>0</v>
      </c>
    </row>
    <row r="91" spans="1:19" x14ac:dyDescent="0.25">
      <c r="A91" t="str">
        <f>'Local multi year dist'!S91</f>
        <v>Northumberland County</v>
      </c>
      <c r="B91" s="2">
        <f>IFERROR(VLOOKUP(A91,'Approved individual amount data'!$A$1:$S$135,2,FALSE),"")</f>
        <v>0</v>
      </c>
      <c r="C91" s="2">
        <f>IFERROR(VLOOKUP(A91,'Approved individual amount data'!$A$1:$S$135,3,FALSE),"")</f>
        <v>0</v>
      </c>
      <c r="D91" s="2">
        <f>IFERROR(VLOOKUP(A91,'Approved individual amount data'!$A$1:$S$135,4,FALSE),"")</f>
        <v>0</v>
      </c>
      <c r="E91" s="2">
        <f>IFERROR(VLOOKUP(A91,'Approved individual amount data'!$A$1:$S$135,5,FALSE),"")</f>
        <v>0</v>
      </c>
      <c r="F91" s="2">
        <f>IFERROR(VLOOKUP(A91,'Approved individual amount data'!$A$1:$S$135,6,FALSE),"")</f>
        <v>0</v>
      </c>
      <c r="G91" s="2">
        <f>IFERROR(VLOOKUP(A91,'Approved individual amount data'!$A$1:$S$135,7,FALSE),"")</f>
        <v>0</v>
      </c>
      <c r="H91" s="2">
        <f>IFERROR(VLOOKUP(A91,'Approved individual amount data'!$A$1:$S$135,8,FALSE),"")</f>
        <v>0</v>
      </c>
      <c r="I91" s="2">
        <f>IFERROR(VLOOKUP(A91,'Approved individual amount data'!$A$1:$S$135,9,FALSE),"")</f>
        <v>0</v>
      </c>
      <c r="J91" s="2">
        <f>IFERROR(VLOOKUP(A91,'Approved individual amount data'!$A$1:$S$135,10,FALSE),"")</f>
        <v>0</v>
      </c>
      <c r="K91" s="2">
        <f>IFERROR(VLOOKUP(A91,'Approved individual amount data'!$A$1:$S$135,11,FALSE),"")</f>
        <v>0</v>
      </c>
      <c r="L91" s="2">
        <f>IFERROR(VLOOKUP(A91,'Approved individual amount data'!$A$1:$S$135,12,FALSE),"")</f>
        <v>0</v>
      </c>
      <c r="M91" s="2">
        <f>IFERROR(VLOOKUP(A91,'Approved individual amount data'!$A$1:$S$135,13,FALSE),"")</f>
        <v>0</v>
      </c>
      <c r="N91" s="2">
        <f>IFERROR(VLOOKUP(A91,'Approved individual amount data'!$A$1:$S$135,14,FALSE),"")</f>
        <v>0</v>
      </c>
      <c r="O91" s="2">
        <f>IFERROR(VLOOKUP(A91,'Approved individual amount data'!$A$1:$S$135,15,FALSE),"")</f>
        <v>0</v>
      </c>
      <c r="P91" s="2">
        <f>IFERROR(VLOOKUP(A91,'Approved individual amount data'!$A$1:$S$135,16,FALSE),"")</f>
        <v>0</v>
      </c>
      <c r="Q91" s="2">
        <f>IFERROR(VLOOKUP(A91,'Approved individual amount data'!$A$1:$S$135,17,FALSE),"")</f>
        <v>0</v>
      </c>
      <c r="R91" s="2">
        <f>IFERROR(VLOOKUP(A91,'Approved individual amount data'!$A$1:$S$135,18,FALSE),"")</f>
        <v>0</v>
      </c>
      <c r="S91" s="2">
        <f>IFERROR(VLOOKUP(A91,'Approved individual amount data'!$A$1:$S$135,19,FALSE),"")</f>
        <v>0</v>
      </c>
    </row>
    <row r="92" spans="1:19" x14ac:dyDescent="0.25">
      <c r="A92" t="str">
        <f>'Local multi year dist'!S92</f>
        <v>Norton City</v>
      </c>
      <c r="B92" s="2">
        <f>IFERROR(VLOOKUP(A92,'Approved individual amount data'!$A$1:$S$135,2,FALSE),"")</f>
        <v>0</v>
      </c>
      <c r="C92" s="2">
        <f>IFERROR(VLOOKUP(A92,'Approved individual amount data'!$A$1:$S$135,3,FALSE),"")</f>
        <v>0</v>
      </c>
      <c r="D92" s="2">
        <f>IFERROR(VLOOKUP(A92,'Approved individual amount data'!$A$1:$S$135,4,FALSE),"")</f>
        <v>2679</v>
      </c>
      <c r="E92" s="2">
        <f>IFERROR(VLOOKUP(A92,'Approved individual amount data'!$A$1:$S$135,5,FALSE),"")</f>
        <v>3944</v>
      </c>
      <c r="F92" s="2">
        <f>IFERROR(VLOOKUP(A92,'Approved individual amount data'!$A$1:$S$135,6,FALSE),"")</f>
        <v>0</v>
      </c>
      <c r="G92" s="2">
        <f>IFERROR(VLOOKUP(A92,'Approved individual amount data'!$A$1:$S$135,7,FALSE),"")</f>
        <v>0</v>
      </c>
      <c r="H92" s="2">
        <f>IFERROR(VLOOKUP(A92,'Approved individual amount data'!$A$1:$S$135,8,FALSE),"")</f>
        <v>0</v>
      </c>
      <c r="I92" s="2">
        <f>IFERROR(VLOOKUP(A92,'Approved individual amount data'!$A$1:$S$135,9,FALSE),"")</f>
        <v>0</v>
      </c>
      <c r="J92" s="2">
        <f>IFERROR(VLOOKUP(A92,'Approved individual amount data'!$A$1:$S$135,10,FALSE),"")</f>
        <v>0</v>
      </c>
      <c r="K92" s="2">
        <f>IFERROR(VLOOKUP(A92,'Approved individual amount data'!$A$1:$S$135,11,FALSE),"")</f>
        <v>0</v>
      </c>
      <c r="L92" s="2">
        <f>IFERROR(VLOOKUP(A92,'Approved individual amount data'!$A$1:$S$135,12,FALSE),"")</f>
        <v>0</v>
      </c>
      <c r="M92" s="2">
        <f>IFERROR(VLOOKUP(A92,'Approved individual amount data'!$A$1:$S$135,13,FALSE),"")</f>
        <v>0</v>
      </c>
      <c r="N92" s="2">
        <f>IFERROR(VLOOKUP(A92,'Approved individual amount data'!$A$1:$S$135,14,FALSE),"")</f>
        <v>0</v>
      </c>
      <c r="O92" s="2">
        <f>IFERROR(VLOOKUP(A92,'Approved individual amount data'!$A$1:$S$135,15,FALSE),"")</f>
        <v>0</v>
      </c>
      <c r="P92" s="2">
        <f>IFERROR(VLOOKUP(A92,'Approved individual amount data'!$A$1:$S$135,16,FALSE),"")</f>
        <v>0</v>
      </c>
      <c r="Q92" s="2">
        <f>IFERROR(VLOOKUP(A92,'Approved individual amount data'!$A$1:$S$135,17,FALSE),"")</f>
        <v>0</v>
      </c>
      <c r="R92" s="2">
        <f>IFERROR(VLOOKUP(A92,'Approved individual amount data'!$A$1:$S$135,18,FALSE),"")</f>
        <v>0</v>
      </c>
      <c r="S92" s="2">
        <f>IFERROR(VLOOKUP(A92,'Approved individual amount data'!$A$1:$S$135,19,FALSE),"")</f>
        <v>0</v>
      </c>
    </row>
    <row r="93" spans="1:19" x14ac:dyDescent="0.25">
      <c r="A93" t="str">
        <f>'Local multi year dist'!S93</f>
        <v>Nottoway County</v>
      </c>
      <c r="B93" s="2">
        <f>IFERROR(VLOOKUP(A93,'Approved individual amount data'!$A$1:$S$135,2,FALSE),"")</f>
        <v>0</v>
      </c>
      <c r="C93" s="2">
        <f>IFERROR(VLOOKUP(A93,'Approved individual amount data'!$A$1:$S$135,3,FALSE),"")</f>
        <v>0</v>
      </c>
      <c r="D93" s="2">
        <f>IFERROR(VLOOKUP(A93,'Approved individual amount data'!$A$1:$S$135,4,FALSE),"")</f>
        <v>0</v>
      </c>
      <c r="E93" s="2">
        <f>IFERROR(VLOOKUP(A93,'Approved individual amount data'!$A$1:$S$135,5,FALSE),"")</f>
        <v>0</v>
      </c>
      <c r="F93" s="2">
        <f>IFERROR(VLOOKUP(A93,'Approved individual amount data'!$A$1:$S$135,6,FALSE),"")</f>
        <v>0</v>
      </c>
      <c r="G93" s="2">
        <f>IFERROR(VLOOKUP(A93,'Approved individual amount data'!$A$1:$S$135,7,FALSE),"")</f>
        <v>0</v>
      </c>
      <c r="H93" s="2">
        <f>IFERROR(VLOOKUP(A93,'Approved individual amount data'!$A$1:$S$135,8,FALSE),"")</f>
        <v>0</v>
      </c>
      <c r="I93" s="2">
        <f>IFERROR(VLOOKUP(A93,'Approved individual amount data'!$A$1:$S$135,9,FALSE),"")</f>
        <v>0</v>
      </c>
      <c r="J93" s="2">
        <f>IFERROR(VLOOKUP(A93,'Approved individual amount data'!$A$1:$S$135,10,FALSE),"")</f>
        <v>0</v>
      </c>
      <c r="K93" s="2">
        <f>IFERROR(VLOOKUP(A93,'Approved individual amount data'!$A$1:$S$135,11,FALSE),"")</f>
        <v>0</v>
      </c>
      <c r="L93" s="2">
        <f>IFERROR(VLOOKUP(A93,'Approved individual amount data'!$A$1:$S$135,12,FALSE),"")</f>
        <v>0</v>
      </c>
      <c r="M93" s="2">
        <f>IFERROR(VLOOKUP(A93,'Approved individual amount data'!$A$1:$S$135,13,FALSE),"")</f>
        <v>0</v>
      </c>
      <c r="N93" s="2">
        <f>IFERROR(VLOOKUP(A93,'Approved individual amount data'!$A$1:$S$135,14,FALSE),"")</f>
        <v>0</v>
      </c>
      <c r="O93" s="2">
        <f>IFERROR(VLOOKUP(A93,'Approved individual amount data'!$A$1:$S$135,15,FALSE),"")</f>
        <v>0</v>
      </c>
      <c r="P93" s="2">
        <f>IFERROR(VLOOKUP(A93,'Approved individual amount data'!$A$1:$S$135,16,FALSE),"")</f>
        <v>0</v>
      </c>
      <c r="Q93" s="2">
        <f>IFERROR(VLOOKUP(A93,'Approved individual amount data'!$A$1:$S$135,17,FALSE),"")</f>
        <v>0</v>
      </c>
      <c r="R93" s="2">
        <f>IFERROR(VLOOKUP(A93,'Approved individual amount data'!$A$1:$S$135,18,FALSE),"")</f>
        <v>0</v>
      </c>
      <c r="S93" s="2">
        <f>IFERROR(VLOOKUP(A93,'Approved individual amount data'!$A$1:$S$135,19,FALSE),"")</f>
        <v>0</v>
      </c>
    </row>
    <row r="94" spans="1:19" x14ac:dyDescent="0.25">
      <c r="A94" t="str">
        <f>'Local multi year dist'!S94</f>
        <v>Orange County</v>
      </c>
      <c r="B94" s="2">
        <f>IFERROR(VLOOKUP(A94,'Approved individual amount data'!$A$1:$S$135,2,FALSE),"")</f>
        <v>0</v>
      </c>
      <c r="C94" s="2">
        <f>IFERROR(VLOOKUP(A94,'Approved individual amount data'!$A$1:$S$135,3,FALSE),"")</f>
        <v>0</v>
      </c>
      <c r="D94" s="2">
        <f>IFERROR(VLOOKUP(A94,'Approved individual amount data'!$A$1:$S$135,4,FALSE),"")</f>
        <v>0</v>
      </c>
      <c r="E94" s="2">
        <f>IFERROR(VLOOKUP(A94,'Approved individual amount data'!$A$1:$S$135,5,FALSE),"")</f>
        <v>45000</v>
      </c>
      <c r="F94" s="2">
        <f>IFERROR(VLOOKUP(A94,'Approved individual amount data'!$A$1:$S$135,6,FALSE),"")</f>
        <v>0</v>
      </c>
      <c r="G94" s="2">
        <f>IFERROR(VLOOKUP(A94,'Approved individual amount data'!$A$1:$S$135,7,FALSE),"")</f>
        <v>0</v>
      </c>
      <c r="H94" s="2">
        <f>IFERROR(VLOOKUP(A94,'Approved individual amount data'!$A$1:$S$135,8,FALSE),"")</f>
        <v>0</v>
      </c>
      <c r="I94" s="2">
        <f>IFERROR(VLOOKUP(A94,'Approved individual amount data'!$A$1:$S$135,9,FALSE),"")</f>
        <v>0</v>
      </c>
      <c r="J94" s="2">
        <f>IFERROR(VLOOKUP(A94,'Approved individual amount data'!$A$1:$S$135,10,FALSE),"")</f>
        <v>0</v>
      </c>
      <c r="K94" s="2">
        <f>IFERROR(VLOOKUP(A94,'Approved individual amount data'!$A$1:$S$135,11,FALSE),"")</f>
        <v>0</v>
      </c>
      <c r="L94" s="2">
        <f>IFERROR(VLOOKUP(A94,'Approved individual amount data'!$A$1:$S$135,12,FALSE),"")</f>
        <v>0</v>
      </c>
      <c r="M94" s="2">
        <f>IFERROR(VLOOKUP(A94,'Approved individual amount data'!$A$1:$S$135,13,FALSE),"")</f>
        <v>0</v>
      </c>
      <c r="N94" s="2">
        <f>IFERROR(VLOOKUP(A94,'Approved individual amount data'!$A$1:$S$135,14,FALSE),"")</f>
        <v>0</v>
      </c>
      <c r="O94" s="2">
        <f>IFERROR(VLOOKUP(A94,'Approved individual amount data'!$A$1:$S$135,15,FALSE),"")</f>
        <v>0</v>
      </c>
      <c r="P94" s="2">
        <f>IFERROR(VLOOKUP(A94,'Approved individual amount data'!$A$1:$S$135,16,FALSE),"")</f>
        <v>0</v>
      </c>
      <c r="Q94" s="2">
        <f>IFERROR(VLOOKUP(A94,'Approved individual amount data'!$A$1:$S$135,17,FALSE),"")</f>
        <v>0</v>
      </c>
      <c r="R94" s="2">
        <f>IFERROR(VLOOKUP(A94,'Approved individual amount data'!$A$1:$S$135,18,FALSE),"")</f>
        <v>0</v>
      </c>
      <c r="S94" s="2">
        <f>IFERROR(VLOOKUP(A94,'Approved individual amount data'!$A$1:$S$135,19,FALSE),"")</f>
        <v>0</v>
      </c>
    </row>
    <row r="95" spans="1:19" x14ac:dyDescent="0.25">
      <c r="A95" t="str">
        <f>'Local multi year dist'!S95</f>
        <v>Page County</v>
      </c>
      <c r="B95" s="2">
        <f>IFERROR(VLOOKUP(A95,'Approved individual amount data'!$A$1:$S$135,2,FALSE),"")</f>
        <v>0</v>
      </c>
      <c r="C95" s="2">
        <f>IFERROR(VLOOKUP(A95,'Approved individual amount data'!$A$1:$S$135,3,FALSE),"")</f>
        <v>0</v>
      </c>
      <c r="D95" s="2">
        <f>IFERROR(VLOOKUP(A95,'Approved individual amount data'!$A$1:$S$135,4,FALSE),"")</f>
        <v>0</v>
      </c>
      <c r="E95" s="2">
        <f>IFERROR(VLOOKUP(A95,'Approved individual amount data'!$A$1:$S$135,5,FALSE),"")</f>
        <v>44121</v>
      </c>
      <c r="F95" s="2">
        <f>IFERROR(VLOOKUP(A95,'Approved individual amount data'!$A$1:$S$135,6,FALSE),"")</f>
        <v>0</v>
      </c>
      <c r="G95" s="2">
        <f>IFERROR(VLOOKUP(A95,'Approved individual amount data'!$A$1:$S$135,7,FALSE),"")</f>
        <v>0</v>
      </c>
      <c r="H95" s="2">
        <f>IFERROR(VLOOKUP(A95,'Approved individual amount data'!$A$1:$S$135,8,FALSE),"")</f>
        <v>0</v>
      </c>
      <c r="I95" s="2">
        <f>IFERROR(VLOOKUP(A95,'Approved individual amount data'!$A$1:$S$135,9,FALSE),"")</f>
        <v>0</v>
      </c>
      <c r="J95" s="2">
        <f>IFERROR(VLOOKUP(A95,'Approved individual amount data'!$A$1:$S$135,10,FALSE),"")</f>
        <v>0</v>
      </c>
      <c r="K95" s="2">
        <f>IFERROR(VLOOKUP(A95,'Approved individual amount data'!$A$1:$S$135,11,FALSE),"")</f>
        <v>0</v>
      </c>
      <c r="L95" s="2">
        <f>IFERROR(VLOOKUP(A95,'Approved individual amount data'!$A$1:$S$135,12,FALSE),"")</f>
        <v>0</v>
      </c>
      <c r="M95" s="2">
        <f>IFERROR(VLOOKUP(A95,'Approved individual amount data'!$A$1:$S$135,13,FALSE),"")</f>
        <v>0</v>
      </c>
      <c r="N95" s="2">
        <f>IFERROR(VLOOKUP(A95,'Approved individual amount data'!$A$1:$S$135,14,FALSE),"")</f>
        <v>0</v>
      </c>
      <c r="O95" s="2">
        <f>IFERROR(VLOOKUP(A95,'Approved individual amount data'!$A$1:$S$135,15,FALSE),"")</f>
        <v>0</v>
      </c>
      <c r="P95" s="2">
        <f>IFERROR(VLOOKUP(A95,'Approved individual amount data'!$A$1:$S$135,16,FALSE),"")</f>
        <v>0</v>
      </c>
      <c r="Q95" s="2">
        <f>IFERROR(VLOOKUP(A95,'Approved individual amount data'!$A$1:$S$135,17,FALSE),"")</f>
        <v>0</v>
      </c>
      <c r="R95" s="2">
        <f>IFERROR(VLOOKUP(A95,'Approved individual amount data'!$A$1:$S$135,18,FALSE),"")</f>
        <v>0</v>
      </c>
      <c r="S95" s="2">
        <f>IFERROR(VLOOKUP(A95,'Approved individual amount data'!$A$1:$S$135,19,FALSE),"")</f>
        <v>0</v>
      </c>
    </row>
    <row r="96" spans="1:19" x14ac:dyDescent="0.25">
      <c r="A96" t="str">
        <f>'Local multi year dist'!S96</f>
        <v>Patrick County</v>
      </c>
      <c r="B96" s="2">
        <f>IFERROR(VLOOKUP(A96,'Approved individual amount data'!$A$1:$S$135,2,FALSE),"")</f>
        <v>0</v>
      </c>
      <c r="C96" s="2">
        <f>IFERROR(VLOOKUP(A96,'Approved individual amount data'!$A$1:$S$135,3,FALSE),"")</f>
        <v>0</v>
      </c>
      <c r="D96" s="2">
        <f>IFERROR(VLOOKUP(A96,'Approved individual amount data'!$A$1:$S$135,4,FALSE),"")</f>
        <v>5000</v>
      </c>
      <c r="E96" s="2">
        <f>IFERROR(VLOOKUP(A96,'Approved individual amount data'!$A$1:$S$135,5,FALSE),"")</f>
        <v>0</v>
      </c>
      <c r="F96" s="2">
        <f>IFERROR(VLOOKUP(A96,'Approved individual amount data'!$A$1:$S$135,6,FALSE),"")</f>
        <v>0</v>
      </c>
      <c r="G96" s="2">
        <f>IFERROR(VLOOKUP(A96,'Approved individual amount data'!$A$1:$S$135,7,FALSE),"")</f>
        <v>0</v>
      </c>
      <c r="H96" s="2">
        <f>IFERROR(VLOOKUP(A96,'Approved individual amount data'!$A$1:$S$135,8,FALSE),"")</f>
        <v>0</v>
      </c>
      <c r="I96" s="2">
        <f>IFERROR(VLOOKUP(A96,'Approved individual amount data'!$A$1:$S$135,9,FALSE),"")</f>
        <v>0</v>
      </c>
      <c r="J96" s="2">
        <f>IFERROR(VLOOKUP(A96,'Approved individual amount data'!$A$1:$S$135,10,FALSE),"")</f>
        <v>0</v>
      </c>
      <c r="K96" s="2">
        <f>IFERROR(VLOOKUP(A96,'Approved individual amount data'!$A$1:$S$135,11,FALSE),"")</f>
        <v>0</v>
      </c>
      <c r="L96" s="2">
        <f>IFERROR(VLOOKUP(A96,'Approved individual amount data'!$A$1:$S$135,12,FALSE),"")</f>
        <v>0</v>
      </c>
      <c r="M96" s="2">
        <f>IFERROR(VLOOKUP(A96,'Approved individual amount data'!$A$1:$S$135,13,FALSE),"")</f>
        <v>0</v>
      </c>
      <c r="N96" s="2">
        <f>IFERROR(VLOOKUP(A96,'Approved individual amount data'!$A$1:$S$135,14,FALSE),"")</f>
        <v>0</v>
      </c>
      <c r="O96" s="2">
        <f>IFERROR(VLOOKUP(A96,'Approved individual amount data'!$A$1:$S$135,15,FALSE),"")</f>
        <v>0</v>
      </c>
      <c r="P96" s="2">
        <f>IFERROR(VLOOKUP(A96,'Approved individual amount data'!$A$1:$S$135,16,FALSE),"")</f>
        <v>0</v>
      </c>
      <c r="Q96" s="2">
        <f>IFERROR(VLOOKUP(A96,'Approved individual amount data'!$A$1:$S$135,17,FALSE),"")</f>
        <v>0</v>
      </c>
      <c r="R96" s="2">
        <f>IFERROR(VLOOKUP(A96,'Approved individual amount data'!$A$1:$S$135,18,FALSE),"")</f>
        <v>0</v>
      </c>
      <c r="S96" s="2">
        <f>IFERROR(VLOOKUP(A96,'Approved individual amount data'!$A$1:$S$135,19,FALSE),"")</f>
        <v>0</v>
      </c>
    </row>
    <row r="97" spans="1:19" x14ac:dyDescent="0.25">
      <c r="A97" t="str">
        <f>'Local multi year dist'!S97</f>
        <v>Petersburg City</v>
      </c>
      <c r="B97" s="2">
        <f>IFERROR(VLOOKUP(A97,'Approved individual amount data'!$A$1:$S$135,2,FALSE),"")</f>
        <v>0</v>
      </c>
      <c r="C97" s="2">
        <f>IFERROR(VLOOKUP(A97,'Approved individual amount data'!$A$1:$S$135,3,FALSE),"")</f>
        <v>0</v>
      </c>
      <c r="D97" s="2">
        <f>IFERROR(VLOOKUP(A97,'Approved individual amount data'!$A$1:$S$135,4,FALSE),"")</f>
        <v>28582</v>
      </c>
      <c r="E97" s="2">
        <f>IFERROR(VLOOKUP(A97,'Approved individual amount data'!$A$1:$S$135,5,FALSE),"")</f>
        <v>22149</v>
      </c>
      <c r="F97" s="2">
        <f>IFERROR(VLOOKUP(A97,'Approved individual amount data'!$A$1:$S$135,6,FALSE),"")</f>
        <v>0</v>
      </c>
      <c r="G97" s="2">
        <f>IFERROR(VLOOKUP(A97,'Approved individual amount data'!$A$1:$S$135,7,FALSE),"")</f>
        <v>0</v>
      </c>
      <c r="H97" s="2">
        <f>IFERROR(VLOOKUP(A97,'Approved individual amount data'!$A$1:$S$135,8,FALSE),"")</f>
        <v>0</v>
      </c>
      <c r="I97" s="2">
        <f>IFERROR(VLOOKUP(A97,'Approved individual amount data'!$A$1:$S$135,9,FALSE),"")</f>
        <v>0</v>
      </c>
      <c r="J97" s="2">
        <f>IFERROR(VLOOKUP(A97,'Approved individual amount data'!$A$1:$S$135,10,FALSE),"")</f>
        <v>0</v>
      </c>
      <c r="K97" s="2">
        <f>IFERROR(VLOOKUP(A97,'Approved individual amount data'!$A$1:$S$135,11,FALSE),"")</f>
        <v>0</v>
      </c>
      <c r="L97" s="2">
        <f>IFERROR(VLOOKUP(A97,'Approved individual amount data'!$A$1:$S$135,12,FALSE),"")</f>
        <v>0</v>
      </c>
      <c r="M97" s="2">
        <f>IFERROR(VLOOKUP(A97,'Approved individual amount data'!$A$1:$S$135,13,FALSE),"")</f>
        <v>0</v>
      </c>
      <c r="N97" s="2">
        <f>IFERROR(VLOOKUP(A97,'Approved individual amount data'!$A$1:$S$135,14,FALSE),"")</f>
        <v>0</v>
      </c>
      <c r="O97" s="2">
        <f>IFERROR(VLOOKUP(A97,'Approved individual amount data'!$A$1:$S$135,15,FALSE),"")</f>
        <v>0</v>
      </c>
      <c r="P97" s="2">
        <f>IFERROR(VLOOKUP(A97,'Approved individual amount data'!$A$1:$S$135,16,FALSE),"")</f>
        <v>0</v>
      </c>
      <c r="Q97" s="2">
        <f>IFERROR(VLOOKUP(A97,'Approved individual amount data'!$A$1:$S$135,17,FALSE),"")</f>
        <v>0</v>
      </c>
      <c r="R97" s="2">
        <f>IFERROR(VLOOKUP(A97,'Approved individual amount data'!$A$1:$S$135,18,FALSE),"")</f>
        <v>0</v>
      </c>
      <c r="S97" s="2">
        <f>IFERROR(VLOOKUP(A97,'Approved individual amount data'!$A$1:$S$135,19,FALSE),"")</f>
        <v>0</v>
      </c>
    </row>
    <row r="98" spans="1:19" x14ac:dyDescent="0.25">
      <c r="A98" t="str">
        <f>'Local multi year dist'!S98</f>
        <v>Pittsylvania County</v>
      </c>
      <c r="B98" s="2">
        <f>IFERROR(VLOOKUP(A98,'Approved individual amount data'!$A$1:$S$135,2,FALSE),"")</f>
        <v>0</v>
      </c>
      <c r="C98" s="2">
        <f>IFERROR(VLOOKUP(A98,'Approved individual amount data'!$A$1:$S$135,3,FALSE),"")</f>
        <v>0</v>
      </c>
      <c r="D98" s="2">
        <f>IFERROR(VLOOKUP(A98,'Approved individual amount data'!$A$1:$S$135,4,FALSE),"")</f>
        <v>31687</v>
      </c>
      <c r="E98" s="2">
        <f>IFERROR(VLOOKUP(A98,'Approved individual amount data'!$A$1:$S$135,5,FALSE),"")</f>
        <v>70000</v>
      </c>
      <c r="F98" s="2">
        <f>IFERROR(VLOOKUP(A98,'Approved individual amount data'!$A$1:$S$135,6,FALSE),"")</f>
        <v>0</v>
      </c>
      <c r="G98" s="2">
        <f>IFERROR(VLOOKUP(A98,'Approved individual amount data'!$A$1:$S$135,7,FALSE),"")</f>
        <v>0</v>
      </c>
      <c r="H98" s="2">
        <f>IFERROR(VLOOKUP(A98,'Approved individual amount data'!$A$1:$S$135,8,FALSE),"")</f>
        <v>0</v>
      </c>
      <c r="I98" s="2">
        <f>IFERROR(VLOOKUP(A98,'Approved individual amount data'!$A$1:$S$135,9,FALSE),"")</f>
        <v>0</v>
      </c>
      <c r="J98" s="2">
        <f>IFERROR(VLOOKUP(A98,'Approved individual amount data'!$A$1:$S$135,10,FALSE),"")</f>
        <v>0</v>
      </c>
      <c r="K98" s="2">
        <f>IFERROR(VLOOKUP(A98,'Approved individual amount data'!$A$1:$S$135,11,FALSE),"")</f>
        <v>0</v>
      </c>
      <c r="L98" s="2">
        <f>IFERROR(VLOOKUP(A98,'Approved individual amount data'!$A$1:$S$135,12,FALSE),"")</f>
        <v>0</v>
      </c>
      <c r="M98" s="2">
        <f>IFERROR(VLOOKUP(A98,'Approved individual amount data'!$A$1:$S$135,13,FALSE),"")</f>
        <v>0</v>
      </c>
      <c r="N98" s="2">
        <f>IFERROR(VLOOKUP(A98,'Approved individual amount data'!$A$1:$S$135,14,FALSE),"")</f>
        <v>0</v>
      </c>
      <c r="O98" s="2">
        <f>IFERROR(VLOOKUP(A98,'Approved individual amount data'!$A$1:$S$135,15,FALSE),"")</f>
        <v>0</v>
      </c>
      <c r="P98" s="2">
        <f>IFERROR(VLOOKUP(A98,'Approved individual amount data'!$A$1:$S$135,16,FALSE),"")</f>
        <v>0</v>
      </c>
      <c r="Q98" s="2">
        <f>IFERROR(VLOOKUP(A98,'Approved individual amount data'!$A$1:$S$135,17,FALSE),"")</f>
        <v>0</v>
      </c>
      <c r="R98" s="2">
        <f>IFERROR(VLOOKUP(A98,'Approved individual amount data'!$A$1:$S$135,18,FALSE),"")</f>
        <v>0</v>
      </c>
      <c r="S98" s="2">
        <f>IFERROR(VLOOKUP(A98,'Approved individual amount data'!$A$1:$S$135,19,FALSE),"")</f>
        <v>0</v>
      </c>
    </row>
    <row r="99" spans="1:19" x14ac:dyDescent="0.25">
      <c r="A99" t="str">
        <f>'Local multi year dist'!S99</f>
        <v>Poquoson City</v>
      </c>
      <c r="B99" s="2">
        <f>IFERROR(VLOOKUP(A99,'Approved individual amount data'!$A$1:$S$135,2,FALSE),"")</f>
        <v>0</v>
      </c>
      <c r="C99" s="2">
        <f>IFERROR(VLOOKUP(A99,'Approved individual amount data'!$A$1:$S$135,3,FALSE),"")</f>
        <v>0</v>
      </c>
      <c r="D99" s="2">
        <f>IFERROR(VLOOKUP(A99,'Approved individual amount data'!$A$1:$S$135,4,FALSE),"")</f>
        <v>0</v>
      </c>
      <c r="E99" s="2">
        <f>IFERROR(VLOOKUP(A99,'Approved individual amount data'!$A$1:$S$135,5,FALSE),"")</f>
        <v>0</v>
      </c>
      <c r="F99" s="2">
        <f>IFERROR(VLOOKUP(A99,'Approved individual amount data'!$A$1:$S$135,6,FALSE),"")</f>
        <v>0</v>
      </c>
      <c r="G99" s="2">
        <f>IFERROR(VLOOKUP(A99,'Approved individual amount data'!$A$1:$S$135,7,FALSE),"")</f>
        <v>0</v>
      </c>
      <c r="H99" s="2">
        <f>IFERROR(VLOOKUP(A99,'Approved individual amount data'!$A$1:$S$135,8,FALSE),"")</f>
        <v>0</v>
      </c>
      <c r="I99" s="2">
        <f>IFERROR(VLOOKUP(A99,'Approved individual amount data'!$A$1:$S$135,9,FALSE),"")</f>
        <v>0</v>
      </c>
      <c r="J99" s="2">
        <f>IFERROR(VLOOKUP(A99,'Approved individual amount data'!$A$1:$S$135,10,FALSE),"")</f>
        <v>0</v>
      </c>
      <c r="K99" s="2">
        <f>IFERROR(VLOOKUP(A99,'Approved individual amount data'!$A$1:$S$135,11,FALSE),"")</f>
        <v>0</v>
      </c>
      <c r="L99" s="2">
        <f>IFERROR(VLOOKUP(A99,'Approved individual amount data'!$A$1:$S$135,12,FALSE),"")</f>
        <v>0</v>
      </c>
      <c r="M99" s="2">
        <f>IFERROR(VLOOKUP(A99,'Approved individual amount data'!$A$1:$S$135,13,FALSE),"")</f>
        <v>0</v>
      </c>
      <c r="N99" s="2">
        <f>IFERROR(VLOOKUP(A99,'Approved individual amount data'!$A$1:$S$135,14,FALSE),"")</f>
        <v>0</v>
      </c>
      <c r="O99" s="2">
        <f>IFERROR(VLOOKUP(A99,'Approved individual amount data'!$A$1:$S$135,15,FALSE),"")</f>
        <v>0</v>
      </c>
      <c r="P99" s="2">
        <f>IFERROR(VLOOKUP(A99,'Approved individual amount data'!$A$1:$S$135,16,FALSE),"")</f>
        <v>0</v>
      </c>
      <c r="Q99" s="2">
        <f>IFERROR(VLOOKUP(A99,'Approved individual amount data'!$A$1:$S$135,17,FALSE),"")</f>
        <v>0</v>
      </c>
      <c r="R99" s="2">
        <f>IFERROR(VLOOKUP(A99,'Approved individual amount data'!$A$1:$S$135,18,FALSE),"")</f>
        <v>0</v>
      </c>
      <c r="S99" s="2">
        <f>IFERROR(VLOOKUP(A99,'Approved individual amount data'!$A$1:$S$135,19,FALSE),"")</f>
        <v>0</v>
      </c>
    </row>
    <row r="100" spans="1:19" x14ac:dyDescent="0.25">
      <c r="A100" t="str">
        <f>'Local multi year dist'!S100</f>
        <v>Portsmouth City</v>
      </c>
      <c r="B100" s="2">
        <f>IFERROR(VLOOKUP(A100,'Approved individual amount data'!$A$1:$S$135,2,FALSE),"")</f>
        <v>0</v>
      </c>
      <c r="C100" s="2">
        <f>IFERROR(VLOOKUP(A100,'Approved individual amount data'!$A$1:$S$135,3,FALSE),"")</f>
        <v>0</v>
      </c>
      <c r="D100" s="2">
        <f>IFERROR(VLOOKUP(A100,'Approved individual amount data'!$A$1:$S$135,4,FALSE),"")</f>
        <v>0</v>
      </c>
      <c r="E100" s="2">
        <f>IFERROR(VLOOKUP(A100,'Approved individual amount data'!$A$1:$S$135,5,FALSE),"")</f>
        <v>0</v>
      </c>
      <c r="F100" s="2">
        <f>IFERROR(VLOOKUP(A100,'Approved individual amount data'!$A$1:$S$135,6,FALSE),"")</f>
        <v>0</v>
      </c>
      <c r="G100" s="2">
        <f>IFERROR(VLOOKUP(A100,'Approved individual amount data'!$A$1:$S$135,7,FALSE),"")</f>
        <v>0</v>
      </c>
      <c r="H100" s="2">
        <f>IFERROR(VLOOKUP(A100,'Approved individual amount data'!$A$1:$S$135,8,FALSE),"")</f>
        <v>0</v>
      </c>
      <c r="I100" s="2">
        <f>IFERROR(VLOOKUP(A100,'Approved individual amount data'!$A$1:$S$135,9,FALSE),"")</f>
        <v>0</v>
      </c>
      <c r="J100" s="2">
        <f>IFERROR(VLOOKUP(A100,'Approved individual amount data'!$A$1:$S$135,10,FALSE),"")</f>
        <v>0</v>
      </c>
      <c r="K100" s="2">
        <f>IFERROR(VLOOKUP(A100,'Approved individual amount data'!$A$1:$S$135,11,FALSE),"")</f>
        <v>0</v>
      </c>
      <c r="L100" s="2">
        <f>IFERROR(VLOOKUP(A100,'Approved individual amount data'!$A$1:$S$135,12,FALSE),"")</f>
        <v>0</v>
      </c>
      <c r="M100" s="2">
        <f>IFERROR(VLOOKUP(A100,'Approved individual amount data'!$A$1:$S$135,13,FALSE),"")</f>
        <v>0</v>
      </c>
      <c r="N100" s="2">
        <f>IFERROR(VLOOKUP(A100,'Approved individual amount data'!$A$1:$S$135,14,FALSE),"")</f>
        <v>0</v>
      </c>
      <c r="O100" s="2">
        <f>IFERROR(VLOOKUP(A100,'Approved individual amount data'!$A$1:$S$135,15,FALSE),"")</f>
        <v>0</v>
      </c>
      <c r="P100" s="2">
        <f>IFERROR(VLOOKUP(A100,'Approved individual amount data'!$A$1:$S$135,16,FALSE),"")</f>
        <v>0</v>
      </c>
      <c r="Q100" s="2">
        <f>IFERROR(VLOOKUP(A100,'Approved individual amount data'!$A$1:$S$135,17,FALSE),"")</f>
        <v>0</v>
      </c>
      <c r="R100" s="2">
        <f>IFERROR(VLOOKUP(A100,'Approved individual amount data'!$A$1:$S$135,18,FALSE),"")</f>
        <v>0</v>
      </c>
      <c r="S100" s="2">
        <f>IFERROR(VLOOKUP(A100,'Approved individual amount data'!$A$1:$S$135,19,FALSE),"")</f>
        <v>0</v>
      </c>
    </row>
    <row r="101" spans="1:19" x14ac:dyDescent="0.25">
      <c r="A101" t="str">
        <f>'Local multi year dist'!S101</f>
        <v>Powhatan County</v>
      </c>
      <c r="B101" s="2">
        <f>IFERROR(VLOOKUP(A101,'Approved individual amount data'!$A$1:$S$135,2,FALSE),"")</f>
        <v>0</v>
      </c>
      <c r="C101" s="2">
        <f>IFERROR(VLOOKUP(A101,'Approved individual amount data'!$A$1:$S$135,3,FALSE),"")</f>
        <v>0</v>
      </c>
      <c r="D101" s="2">
        <f>IFERROR(VLOOKUP(A101,'Approved individual amount data'!$A$1:$S$135,4,FALSE),"")</f>
        <v>28510</v>
      </c>
      <c r="E101" s="2">
        <f>IFERROR(VLOOKUP(A101,'Approved individual amount data'!$A$1:$S$135,5,FALSE),"")</f>
        <v>5139</v>
      </c>
      <c r="F101" s="2">
        <f>IFERROR(VLOOKUP(A101,'Approved individual amount data'!$A$1:$S$135,6,FALSE),"")</f>
        <v>0</v>
      </c>
      <c r="G101" s="2">
        <f>IFERROR(VLOOKUP(A101,'Approved individual amount data'!$A$1:$S$135,7,FALSE),"")</f>
        <v>0</v>
      </c>
      <c r="H101" s="2">
        <f>IFERROR(VLOOKUP(A101,'Approved individual amount data'!$A$1:$S$135,8,FALSE),"")</f>
        <v>0</v>
      </c>
      <c r="I101" s="2">
        <f>IFERROR(VLOOKUP(A101,'Approved individual amount data'!$A$1:$S$135,9,FALSE),"")</f>
        <v>0</v>
      </c>
      <c r="J101" s="2">
        <f>IFERROR(VLOOKUP(A101,'Approved individual amount data'!$A$1:$S$135,10,FALSE),"")</f>
        <v>0</v>
      </c>
      <c r="K101" s="2">
        <f>IFERROR(VLOOKUP(A101,'Approved individual amount data'!$A$1:$S$135,11,FALSE),"")</f>
        <v>0</v>
      </c>
      <c r="L101" s="2">
        <f>IFERROR(VLOOKUP(A101,'Approved individual amount data'!$A$1:$S$135,12,FALSE),"")</f>
        <v>0</v>
      </c>
      <c r="M101" s="2">
        <f>IFERROR(VLOOKUP(A101,'Approved individual amount data'!$A$1:$S$135,13,FALSE),"")</f>
        <v>0</v>
      </c>
      <c r="N101" s="2">
        <f>IFERROR(VLOOKUP(A101,'Approved individual amount data'!$A$1:$S$135,14,FALSE),"")</f>
        <v>0</v>
      </c>
      <c r="O101" s="2">
        <f>IFERROR(VLOOKUP(A101,'Approved individual amount data'!$A$1:$S$135,15,FALSE),"")</f>
        <v>0</v>
      </c>
      <c r="P101" s="2">
        <f>IFERROR(VLOOKUP(A101,'Approved individual amount data'!$A$1:$S$135,16,FALSE),"")</f>
        <v>0</v>
      </c>
      <c r="Q101" s="2">
        <f>IFERROR(VLOOKUP(A101,'Approved individual amount data'!$A$1:$S$135,17,FALSE),"")</f>
        <v>0</v>
      </c>
      <c r="R101" s="2">
        <f>IFERROR(VLOOKUP(A101,'Approved individual amount data'!$A$1:$S$135,18,FALSE),"")</f>
        <v>0</v>
      </c>
      <c r="S101" s="2">
        <f>IFERROR(VLOOKUP(A101,'Approved individual amount data'!$A$1:$S$135,19,FALSE),"")</f>
        <v>0</v>
      </c>
    </row>
    <row r="102" spans="1:19" x14ac:dyDescent="0.25">
      <c r="A102" t="str">
        <f>'Local multi year dist'!S102</f>
        <v>Prince Edward County</v>
      </c>
      <c r="B102" s="2">
        <f>IFERROR(VLOOKUP(A102,'Approved individual amount data'!$A$1:$S$135,2,FALSE),"")</f>
        <v>0</v>
      </c>
      <c r="C102" s="2">
        <f>IFERROR(VLOOKUP(A102,'Approved individual amount data'!$A$1:$S$135,3,FALSE),"")</f>
        <v>0</v>
      </c>
      <c r="D102" s="2">
        <f>IFERROR(VLOOKUP(A102,'Approved individual amount data'!$A$1:$S$135,4,FALSE),"")</f>
        <v>0</v>
      </c>
      <c r="E102" s="2">
        <f>IFERROR(VLOOKUP(A102,'Approved individual amount data'!$A$1:$S$135,5,FALSE),"")</f>
        <v>0</v>
      </c>
      <c r="F102" s="2">
        <f>IFERROR(VLOOKUP(A102,'Approved individual amount data'!$A$1:$S$135,6,FALSE),"")</f>
        <v>0</v>
      </c>
      <c r="G102" s="2">
        <f>IFERROR(VLOOKUP(A102,'Approved individual amount data'!$A$1:$S$135,7,FALSE),"")</f>
        <v>0</v>
      </c>
      <c r="H102" s="2">
        <f>IFERROR(VLOOKUP(A102,'Approved individual amount data'!$A$1:$S$135,8,FALSE),"")</f>
        <v>0</v>
      </c>
      <c r="I102" s="2">
        <f>IFERROR(VLOOKUP(A102,'Approved individual amount data'!$A$1:$S$135,9,FALSE),"")</f>
        <v>0</v>
      </c>
      <c r="J102" s="2">
        <f>IFERROR(VLOOKUP(A102,'Approved individual amount data'!$A$1:$S$135,10,FALSE),"")</f>
        <v>0</v>
      </c>
      <c r="K102" s="2">
        <f>IFERROR(VLOOKUP(A102,'Approved individual amount data'!$A$1:$S$135,11,FALSE),"")</f>
        <v>0</v>
      </c>
      <c r="L102" s="2">
        <f>IFERROR(VLOOKUP(A102,'Approved individual amount data'!$A$1:$S$135,12,FALSE),"")</f>
        <v>0</v>
      </c>
      <c r="M102" s="2">
        <f>IFERROR(VLOOKUP(A102,'Approved individual amount data'!$A$1:$S$135,13,FALSE),"")</f>
        <v>0</v>
      </c>
      <c r="N102" s="2">
        <f>IFERROR(VLOOKUP(A102,'Approved individual amount data'!$A$1:$S$135,14,FALSE),"")</f>
        <v>0</v>
      </c>
      <c r="O102" s="2">
        <f>IFERROR(VLOOKUP(A102,'Approved individual amount data'!$A$1:$S$135,15,FALSE),"")</f>
        <v>0</v>
      </c>
      <c r="P102" s="2">
        <f>IFERROR(VLOOKUP(A102,'Approved individual amount data'!$A$1:$S$135,16,FALSE),"")</f>
        <v>0</v>
      </c>
      <c r="Q102" s="2">
        <f>IFERROR(VLOOKUP(A102,'Approved individual amount data'!$A$1:$S$135,17,FALSE),"")</f>
        <v>0</v>
      </c>
      <c r="R102" s="2">
        <f>IFERROR(VLOOKUP(A102,'Approved individual amount data'!$A$1:$S$135,18,FALSE),"")</f>
        <v>0</v>
      </c>
      <c r="S102" s="2">
        <f>IFERROR(VLOOKUP(A102,'Approved individual amount data'!$A$1:$S$135,19,FALSE),"")</f>
        <v>0</v>
      </c>
    </row>
    <row r="103" spans="1:19" x14ac:dyDescent="0.25">
      <c r="A103" t="str">
        <f>'Local multi year dist'!S103</f>
        <v>Prince George County</v>
      </c>
      <c r="B103" s="2">
        <f>IFERROR(VLOOKUP(A103,'Approved individual amount data'!$A$1:$S$135,2,FALSE),"")</f>
        <v>0</v>
      </c>
      <c r="C103" s="2">
        <f>IFERROR(VLOOKUP(A103,'Approved individual amount data'!$A$1:$S$135,3,FALSE),"")</f>
        <v>0</v>
      </c>
      <c r="D103" s="2">
        <f>IFERROR(VLOOKUP(A103,'Approved individual amount data'!$A$1:$S$135,4,FALSE),"")</f>
        <v>0</v>
      </c>
      <c r="E103" s="2">
        <f>IFERROR(VLOOKUP(A103,'Approved individual amount data'!$A$1:$S$135,5,FALSE),"")</f>
        <v>0</v>
      </c>
      <c r="F103" s="2">
        <f>IFERROR(VLOOKUP(A103,'Approved individual amount data'!$A$1:$S$135,6,FALSE),"")</f>
        <v>0</v>
      </c>
      <c r="G103" s="2">
        <f>IFERROR(VLOOKUP(A103,'Approved individual amount data'!$A$1:$S$135,7,FALSE),"")</f>
        <v>0</v>
      </c>
      <c r="H103" s="2">
        <f>IFERROR(VLOOKUP(A103,'Approved individual amount data'!$A$1:$S$135,8,FALSE),"")</f>
        <v>0</v>
      </c>
      <c r="I103" s="2">
        <f>IFERROR(VLOOKUP(A103,'Approved individual amount data'!$A$1:$S$135,9,FALSE),"")</f>
        <v>0</v>
      </c>
      <c r="J103" s="2">
        <f>IFERROR(VLOOKUP(A103,'Approved individual amount data'!$A$1:$S$135,10,FALSE),"")</f>
        <v>0</v>
      </c>
      <c r="K103" s="2">
        <f>IFERROR(VLOOKUP(A103,'Approved individual amount data'!$A$1:$S$135,11,FALSE),"")</f>
        <v>0</v>
      </c>
      <c r="L103" s="2">
        <f>IFERROR(VLOOKUP(A103,'Approved individual amount data'!$A$1:$S$135,12,FALSE),"")</f>
        <v>0</v>
      </c>
      <c r="M103" s="2">
        <f>IFERROR(VLOOKUP(A103,'Approved individual amount data'!$A$1:$S$135,13,FALSE),"")</f>
        <v>0</v>
      </c>
      <c r="N103" s="2">
        <f>IFERROR(VLOOKUP(A103,'Approved individual amount data'!$A$1:$S$135,14,FALSE),"")</f>
        <v>0</v>
      </c>
      <c r="O103" s="2">
        <f>IFERROR(VLOOKUP(A103,'Approved individual amount data'!$A$1:$S$135,15,FALSE),"")</f>
        <v>0</v>
      </c>
      <c r="P103" s="2">
        <f>IFERROR(VLOOKUP(A103,'Approved individual amount data'!$A$1:$S$135,16,FALSE),"")</f>
        <v>0</v>
      </c>
      <c r="Q103" s="2">
        <f>IFERROR(VLOOKUP(A103,'Approved individual amount data'!$A$1:$S$135,17,FALSE),"")</f>
        <v>0</v>
      </c>
      <c r="R103" s="2">
        <f>IFERROR(VLOOKUP(A103,'Approved individual amount data'!$A$1:$S$135,18,FALSE),"")</f>
        <v>0</v>
      </c>
      <c r="S103" s="2">
        <f>IFERROR(VLOOKUP(A103,'Approved individual amount data'!$A$1:$S$135,19,FALSE),"")</f>
        <v>0</v>
      </c>
    </row>
    <row r="104" spans="1:19" x14ac:dyDescent="0.25">
      <c r="A104" t="str">
        <f>'Local multi year dist'!S104</f>
        <v>Prince William County</v>
      </c>
      <c r="B104" s="2">
        <f>IFERROR(VLOOKUP(A104,'Approved individual amount data'!$A$1:$S$135,2,FALSE),"")</f>
        <v>0</v>
      </c>
      <c r="C104" s="2">
        <f>IFERROR(VLOOKUP(A104,'Approved individual amount data'!$A$1:$S$135,3,FALSE),"")</f>
        <v>0</v>
      </c>
      <c r="D104" s="2">
        <f>IFERROR(VLOOKUP(A104,'Approved individual amount data'!$A$1:$S$135,4,FALSE),"")</f>
        <v>0</v>
      </c>
      <c r="E104" s="2">
        <f>IFERROR(VLOOKUP(A104,'Approved individual amount data'!$A$1:$S$135,5,FALSE),"")</f>
        <v>0</v>
      </c>
      <c r="F104" s="2">
        <f>IFERROR(VLOOKUP(A104,'Approved individual amount data'!$A$1:$S$135,6,FALSE),"")</f>
        <v>0</v>
      </c>
      <c r="G104" s="2">
        <f>IFERROR(VLOOKUP(A104,'Approved individual amount data'!$A$1:$S$135,7,FALSE),"")</f>
        <v>0</v>
      </c>
      <c r="H104" s="2">
        <f>IFERROR(VLOOKUP(A104,'Approved individual amount data'!$A$1:$S$135,8,FALSE),"")</f>
        <v>0</v>
      </c>
      <c r="I104" s="2">
        <f>IFERROR(VLOOKUP(A104,'Approved individual amount data'!$A$1:$S$135,9,FALSE),"")</f>
        <v>0</v>
      </c>
      <c r="J104" s="2">
        <f>IFERROR(VLOOKUP(A104,'Approved individual amount data'!$A$1:$S$135,10,FALSE),"")</f>
        <v>0</v>
      </c>
      <c r="K104" s="2">
        <f>IFERROR(VLOOKUP(A104,'Approved individual amount data'!$A$1:$S$135,11,FALSE),"")</f>
        <v>0</v>
      </c>
      <c r="L104" s="2">
        <f>IFERROR(VLOOKUP(A104,'Approved individual amount data'!$A$1:$S$135,12,FALSE),"")</f>
        <v>0</v>
      </c>
      <c r="M104" s="2">
        <f>IFERROR(VLOOKUP(A104,'Approved individual amount data'!$A$1:$S$135,13,FALSE),"")</f>
        <v>0</v>
      </c>
      <c r="N104" s="2">
        <f>IFERROR(VLOOKUP(A104,'Approved individual amount data'!$A$1:$S$135,14,FALSE),"")</f>
        <v>0</v>
      </c>
      <c r="O104" s="2">
        <f>IFERROR(VLOOKUP(A104,'Approved individual amount data'!$A$1:$S$135,15,FALSE),"")</f>
        <v>0</v>
      </c>
      <c r="P104" s="2">
        <f>IFERROR(VLOOKUP(A104,'Approved individual amount data'!$A$1:$S$135,16,FALSE),"")</f>
        <v>0</v>
      </c>
      <c r="Q104" s="2">
        <f>IFERROR(VLOOKUP(A104,'Approved individual amount data'!$A$1:$S$135,17,FALSE),"")</f>
        <v>0</v>
      </c>
      <c r="R104" s="2">
        <f>IFERROR(VLOOKUP(A104,'Approved individual amount data'!$A$1:$S$135,18,FALSE),"")</f>
        <v>0</v>
      </c>
      <c r="S104" s="2">
        <f>IFERROR(VLOOKUP(A104,'Approved individual amount data'!$A$1:$S$135,19,FALSE),"")</f>
        <v>0</v>
      </c>
    </row>
    <row r="105" spans="1:19" x14ac:dyDescent="0.25">
      <c r="A105" t="str">
        <f>'Local multi year dist'!S105</f>
        <v>Pulaski County</v>
      </c>
      <c r="B105" s="2">
        <f>IFERROR(VLOOKUP(A105,'Approved individual amount data'!$A$1:$S$135,2,FALSE),"")</f>
        <v>0</v>
      </c>
      <c r="C105" s="2">
        <f>IFERROR(VLOOKUP(A105,'Approved individual amount data'!$A$1:$S$135,3,FALSE),"")</f>
        <v>0</v>
      </c>
      <c r="D105" s="2">
        <f>IFERROR(VLOOKUP(A105,'Approved individual amount data'!$A$1:$S$135,4,FALSE),"")</f>
        <v>115456</v>
      </c>
      <c r="E105" s="2">
        <f>IFERROR(VLOOKUP(A105,'Approved individual amount data'!$A$1:$S$135,5,FALSE),"")</f>
        <v>20809</v>
      </c>
      <c r="F105" s="2">
        <f>IFERROR(VLOOKUP(A105,'Approved individual amount data'!$A$1:$S$135,6,FALSE),"")</f>
        <v>0</v>
      </c>
      <c r="G105" s="2">
        <f>IFERROR(VLOOKUP(A105,'Approved individual amount data'!$A$1:$S$135,7,FALSE),"")</f>
        <v>0</v>
      </c>
      <c r="H105" s="2">
        <f>IFERROR(VLOOKUP(A105,'Approved individual amount data'!$A$1:$S$135,8,FALSE),"")</f>
        <v>0</v>
      </c>
      <c r="I105" s="2">
        <f>IFERROR(VLOOKUP(A105,'Approved individual amount data'!$A$1:$S$135,9,FALSE),"")</f>
        <v>0</v>
      </c>
      <c r="J105" s="2">
        <f>IFERROR(VLOOKUP(A105,'Approved individual amount data'!$A$1:$S$135,10,FALSE),"")</f>
        <v>0</v>
      </c>
      <c r="K105" s="2">
        <f>IFERROR(VLOOKUP(A105,'Approved individual amount data'!$A$1:$S$135,11,FALSE),"")</f>
        <v>0</v>
      </c>
      <c r="L105" s="2">
        <f>IFERROR(VLOOKUP(A105,'Approved individual amount data'!$A$1:$S$135,12,FALSE),"")</f>
        <v>0</v>
      </c>
      <c r="M105" s="2">
        <f>IFERROR(VLOOKUP(A105,'Approved individual amount data'!$A$1:$S$135,13,FALSE),"")</f>
        <v>0</v>
      </c>
      <c r="N105" s="2">
        <f>IFERROR(VLOOKUP(A105,'Approved individual amount data'!$A$1:$S$135,14,FALSE),"")</f>
        <v>0</v>
      </c>
      <c r="O105" s="2">
        <f>IFERROR(VLOOKUP(A105,'Approved individual amount data'!$A$1:$S$135,15,FALSE),"")</f>
        <v>0</v>
      </c>
      <c r="P105" s="2">
        <f>IFERROR(VLOOKUP(A105,'Approved individual amount data'!$A$1:$S$135,16,FALSE),"")</f>
        <v>0</v>
      </c>
      <c r="Q105" s="2">
        <f>IFERROR(VLOOKUP(A105,'Approved individual amount data'!$A$1:$S$135,17,FALSE),"")</f>
        <v>0</v>
      </c>
      <c r="R105" s="2">
        <f>IFERROR(VLOOKUP(A105,'Approved individual amount data'!$A$1:$S$135,18,FALSE),"")</f>
        <v>0</v>
      </c>
      <c r="S105" s="2">
        <f>IFERROR(VLOOKUP(A105,'Approved individual amount data'!$A$1:$S$135,19,FALSE),"")</f>
        <v>0</v>
      </c>
    </row>
    <row r="106" spans="1:19" x14ac:dyDescent="0.25">
      <c r="A106" t="str">
        <f>'Local multi year dist'!S106</f>
        <v>Radford City</v>
      </c>
      <c r="B106" s="2">
        <f>IFERROR(VLOOKUP(A106,'Approved individual amount data'!$A$1:$S$135,2,FALSE),"")</f>
        <v>0</v>
      </c>
      <c r="C106" s="2">
        <f>IFERROR(VLOOKUP(A106,'Approved individual amount data'!$A$1:$S$135,3,FALSE),"")</f>
        <v>0</v>
      </c>
      <c r="D106" s="2">
        <f>IFERROR(VLOOKUP(A106,'Approved individual amount data'!$A$1:$S$135,4,FALSE),"")</f>
        <v>26878</v>
      </c>
      <c r="E106" s="2">
        <f>IFERROR(VLOOKUP(A106,'Approved individual amount data'!$A$1:$S$135,5,FALSE),"")</f>
        <v>4844</v>
      </c>
      <c r="F106" s="2">
        <f>IFERROR(VLOOKUP(A106,'Approved individual amount data'!$A$1:$S$135,6,FALSE),"")</f>
        <v>0</v>
      </c>
      <c r="G106" s="2">
        <f>IFERROR(VLOOKUP(A106,'Approved individual amount data'!$A$1:$S$135,7,FALSE),"")</f>
        <v>0</v>
      </c>
      <c r="H106" s="2">
        <f>IFERROR(VLOOKUP(A106,'Approved individual amount data'!$A$1:$S$135,8,FALSE),"")</f>
        <v>0</v>
      </c>
      <c r="I106" s="2">
        <f>IFERROR(VLOOKUP(A106,'Approved individual amount data'!$A$1:$S$135,9,FALSE),"")</f>
        <v>0</v>
      </c>
      <c r="J106" s="2">
        <f>IFERROR(VLOOKUP(A106,'Approved individual amount data'!$A$1:$S$135,10,FALSE),"")</f>
        <v>0</v>
      </c>
      <c r="K106" s="2">
        <f>IFERROR(VLOOKUP(A106,'Approved individual amount data'!$A$1:$S$135,11,FALSE),"")</f>
        <v>0</v>
      </c>
      <c r="L106" s="2">
        <f>IFERROR(VLOOKUP(A106,'Approved individual amount data'!$A$1:$S$135,12,FALSE),"")</f>
        <v>0</v>
      </c>
      <c r="M106" s="2">
        <f>IFERROR(VLOOKUP(A106,'Approved individual amount data'!$A$1:$S$135,13,FALSE),"")</f>
        <v>0</v>
      </c>
      <c r="N106" s="2">
        <f>IFERROR(VLOOKUP(A106,'Approved individual amount data'!$A$1:$S$135,14,FALSE),"")</f>
        <v>0</v>
      </c>
      <c r="O106" s="2">
        <f>IFERROR(VLOOKUP(A106,'Approved individual amount data'!$A$1:$S$135,15,FALSE),"")</f>
        <v>0</v>
      </c>
      <c r="P106" s="2">
        <f>IFERROR(VLOOKUP(A106,'Approved individual amount data'!$A$1:$S$135,16,FALSE),"")</f>
        <v>0</v>
      </c>
      <c r="Q106" s="2">
        <f>IFERROR(VLOOKUP(A106,'Approved individual amount data'!$A$1:$S$135,17,FALSE),"")</f>
        <v>0</v>
      </c>
      <c r="R106" s="2">
        <f>IFERROR(VLOOKUP(A106,'Approved individual amount data'!$A$1:$S$135,18,FALSE),"")</f>
        <v>0</v>
      </c>
      <c r="S106" s="2">
        <f>IFERROR(VLOOKUP(A106,'Approved individual amount data'!$A$1:$S$135,19,FALSE),"")</f>
        <v>0</v>
      </c>
    </row>
    <row r="107" spans="1:19" x14ac:dyDescent="0.25">
      <c r="A107" t="str">
        <f>'Local multi year dist'!S107</f>
        <v>Rappahannock County</v>
      </c>
      <c r="B107" s="2">
        <f>IFERROR(VLOOKUP(A107,'Approved individual amount data'!$A$1:$S$135,2,FALSE),"")</f>
        <v>0</v>
      </c>
      <c r="C107" s="2">
        <f>IFERROR(VLOOKUP(A107,'Approved individual amount data'!$A$1:$S$135,3,FALSE),"")</f>
        <v>0</v>
      </c>
      <c r="D107" s="2">
        <f>IFERROR(VLOOKUP(A107,'Approved individual amount data'!$A$1:$S$135,4,FALSE),"")</f>
        <v>0</v>
      </c>
      <c r="E107" s="2">
        <f>IFERROR(VLOOKUP(A107,'Approved individual amount data'!$A$1:$S$135,5,FALSE),"")</f>
        <v>0</v>
      </c>
      <c r="F107" s="2">
        <f>IFERROR(VLOOKUP(A107,'Approved individual amount data'!$A$1:$S$135,6,FALSE),"")</f>
        <v>0</v>
      </c>
      <c r="G107" s="2">
        <f>IFERROR(VLOOKUP(A107,'Approved individual amount data'!$A$1:$S$135,7,FALSE),"")</f>
        <v>0</v>
      </c>
      <c r="H107" s="2">
        <f>IFERROR(VLOOKUP(A107,'Approved individual amount data'!$A$1:$S$135,8,FALSE),"")</f>
        <v>0</v>
      </c>
      <c r="I107" s="2">
        <f>IFERROR(VLOOKUP(A107,'Approved individual amount data'!$A$1:$S$135,9,FALSE),"")</f>
        <v>0</v>
      </c>
      <c r="J107" s="2">
        <f>IFERROR(VLOOKUP(A107,'Approved individual amount data'!$A$1:$S$135,10,FALSE),"")</f>
        <v>0</v>
      </c>
      <c r="K107" s="2">
        <f>IFERROR(VLOOKUP(A107,'Approved individual amount data'!$A$1:$S$135,11,FALSE),"")</f>
        <v>0</v>
      </c>
      <c r="L107" s="2">
        <f>IFERROR(VLOOKUP(A107,'Approved individual amount data'!$A$1:$S$135,12,FALSE),"")</f>
        <v>0</v>
      </c>
      <c r="M107" s="2">
        <f>IFERROR(VLOOKUP(A107,'Approved individual amount data'!$A$1:$S$135,13,FALSE),"")</f>
        <v>0</v>
      </c>
      <c r="N107" s="2">
        <f>IFERROR(VLOOKUP(A107,'Approved individual amount data'!$A$1:$S$135,14,FALSE),"")</f>
        <v>0</v>
      </c>
      <c r="O107" s="2">
        <f>IFERROR(VLOOKUP(A107,'Approved individual amount data'!$A$1:$S$135,15,FALSE),"")</f>
        <v>0</v>
      </c>
      <c r="P107" s="2">
        <f>IFERROR(VLOOKUP(A107,'Approved individual amount data'!$A$1:$S$135,16,FALSE),"")</f>
        <v>0</v>
      </c>
      <c r="Q107" s="2">
        <f>IFERROR(VLOOKUP(A107,'Approved individual amount data'!$A$1:$S$135,17,FALSE),"")</f>
        <v>0</v>
      </c>
      <c r="R107" s="2">
        <f>IFERROR(VLOOKUP(A107,'Approved individual amount data'!$A$1:$S$135,18,FALSE),"")</f>
        <v>0</v>
      </c>
      <c r="S107" s="2">
        <f>IFERROR(VLOOKUP(A107,'Approved individual amount data'!$A$1:$S$135,19,FALSE),"")</f>
        <v>0</v>
      </c>
    </row>
    <row r="108" spans="1:19" x14ac:dyDescent="0.25">
      <c r="A108" t="str">
        <f>'Local multi year dist'!S108</f>
        <v>Richmond County</v>
      </c>
      <c r="B108" s="2">
        <f>IFERROR(VLOOKUP(A108,'Approved individual amount data'!$A$1:$S$135,2,FALSE),"")</f>
        <v>0</v>
      </c>
      <c r="C108" s="2">
        <f>IFERROR(VLOOKUP(A108,'Approved individual amount data'!$A$1:$S$135,3,FALSE),"")</f>
        <v>0</v>
      </c>
      <c r="D108" s="2">
        <f>IFERROR(VLOOKUP(A108,'Approved individual amount data'!$A$1:$S$135,4,FALSE),"")</f>
        <v>0</v>
      </c>
      <c r="E108" s="2">
        <f>IFERROR(VLOOKUP(A108,'Approved individual amount data'!$A$1:$S$135,5,FALSE),"")</f>
        <v>186275</v>
      </c>
      <c r="F108" s="2">
        <f>IFERROR(VLOOKUP(A108,'Approved individual amount data'!$A$1:$S$135,6,FALSE),"")</f>
        <v>0</v>
      </c>
      <c r="G108" s="2">
        <f>IFERROR(VLOOKUP(A108,'Approved individual amount data'!$A$1:$S$135,7,FALSE),"")</f>
        <v>0</v>
      </c>
      <c r="H108" s="2">
        <f>IFERROR(VLOOKUP(A108,'Approved individual amount data'!$A$1:$S$135,8,FALSE),"")</f>
        <v>0</v>
      </c>
      <c r="I108" s="2">
        <f>IFERROR(VLOOKUP(A108,'Approved individual amount data'!$A$1:$S$135,9,FALSE),"")</f>
        <v>0</v>
      </c>
      <c r="J108" s="2">
        <f>IFERROR(VLOOKUP(A108,'Approved individual amount data'!$A$1:$S$135,10,FALSE),"")</f>
        <v>0</v>
      </c>
      <c r="K108" s="2">
        <f>IFERROR(VLOOKUP(A108,'Approved individual amount data'!$A$1:$S$135,11,FALSE),"")</f>
        <v>0</v>
      </c>
      <c r="L108" s="2">
        <f>IFERROR(VLOOKUP(A108,'Approved individual amount data'!$A$1:$S$135,12,FALSE),"")</f>
        <v>0</v>
      </c>
      <c r="M108" s="2">
        <f>IFERROR(VLOOKUP(A108,'Approved individual amount data'!$A$1:$S$135,13,FALSE),"")</f>
        <v>0</v>
      </c>
      <c r="N108" s="2">
        <f>IFERROR(VLOOKUP(A108,'Approved individual amount data'!$A$1:$S$135,14,FALSE),"")</f>
        <v>0</v>
      </c>
      <c r="O108" s="2">
        <f>IFERROR(VLOOKUP(A108,'Approved individual amount data'!$A$1:$S$135,15,FALSE),"")</f>
        <v>0</v>
      </c>
      <c r="P108" s="2">
        <f>IFERROR(VLOOKUP(A108,'Approved individual amount data'!$A$1:$S$135,16,FALSE),"")</f>
        <v>0</v>
      </c>
      <c r="Q108" s="2">
        <f>IFERROR(VLOOKUP(A108,'Approved individual amount data'!$A$1:$S$135,17,FALSE),"")</f>
        <v>0</v>
      </c>
      <c r="R108" s="2">
        <f>IFERROR(VLOOKUP(A108,'Approved individual amount data'!$A$1:$S$135,18,FALSE),"")</f>
        <v>0</v>
      </c>
      <c r="S108" s="2">
        <f>IFERROR(VLOOKUP(A108,'Approved individual amount data'!$A$1:$S$135,19,FALSE),"")</f>
        <v>0</v>
      </c>
    </row>
    <row r="109" spans="1:19" x14ac:dyDescent="0.25">
      <c r="A109" t="str">
        <f>'Local multi year dist'!S109</f>
        <v>Richmond City</v>
      </c>
      <c r="B109" s="2">
        <f>IFERROR(VLOOKUP(A109,'Approved individual amount data'!$A$1:$S$135,2,FALSE),"")</f>
        <v>0</v>
      </c>
      <c r="C109" s="2">
        <f>IFERROR(VLOOKUP(A109,'Approved individual amount data'!$A$1:$S$135,3,FALSE),"")</f>
        <v>0</v>
      </c>
      <c r="D109" s="2">
        <f>IFERROR(VLOOKUP(A109,'Approved individual amount data'!$A$1:$S$135,4,FALSE),"")</f>
        <v>9642</v>
      </c>
      <c r="E109" s="2">
        <f>IFERROR(VLOOKUP(A109,'Approved individual amount data'!$A$1:$S$135,5,FALSE),"")</f>
        <v>490617</v>
      </c>
      <c r="F109" s="2">
        <f>IFERROR(VLOOKUP(A109,'Approved individual amount data'!$A$1:$S$135,6,FALSE),"")</f>
        <v>0</v>
      </c>
      <c r="G109" s="2">
        <f>IFERROR(VLOOKUP(A109,'Approved individual amount data'!$A$1:$S$135,7,FALSE),"")</f>
        <v>0</v>
      </c>
      <c r="H109" s="2">
        <f>IFERROR(VLOOKUP(A109,'Approved individual amount data'!$A$1:$S$135,8,FALSE),"")</f>
        <v>0</v>
      </c>
      <c r="I109" s="2">
        <f>IFERROR(VLOOKUP(A109,'Approved individual amount data'!$A$1:$S$135,9,FALSE),"")</f>
        <v>0</v>
      </c>
      <c r="J109" s="2">
        <f>IFERROR(VLOOKUP(A109,'Approved individual amount data'!$A$1:$S$135,10,FALSE),"")</f>
        <v>0</v>
      </c>
      <c r="K109" s="2">
        <f>IFERROR(VLOOKUP(A109,'Approved individual amount data'!$A$1:$S$135,11,FALSE),"")</f>
        <v>0</v>
      </c>
      <c r="L109" s="2">
        <f>IFERROR(VLOOKUP(A109,'Approved individual amount data'!$A$1:$S$135,12,FALSE),"")</f>
        <v>0</v>
      </c>
      <c r="M109" s="2">
        <f>IFERROR(VLOOKUP(A109,'Approved individual amount data'!$A$1:$S$135,13,FALSE),"")</f>
        <v>0</v>
      </c>
      <c r="N109" s="2">
        <f>IFERROR(VLOOKUP(A109,'Approved individual amount data'!$A$1:$S$135,14,FALSE),"")</f>
        <v>0</v>
      </c>
      <c r="O109" s="2">
        <f>IFERROR(VLOOKUP(A109,'Approved individual amount data'!$A$1:$S$135,15,FALSE),"")</f>
        <v>0</v>
      </c>
      <c r="P109" s="2">
        <f>IFERROR(VLOOKUP(A109,'Approved individual amount data'!$A$1:$S$135,16,FALSE),"")</f>
        <v>0</v>
      </c>
      <c r="Q109" s="2">
        <f>IFERROR(VLOOKUP(A109,'Approved individual amount data'!$A$1:$S$135,17,FALSE),"")</f>
        <v>0</v>
      </c>
      <c r="R109" s="2">
        <f>IFERROR(VLOOKUP(A109,'Approved individual amount data'!$A$1:$S$135,18,FALSE),"")</f>
        <v>0</v>
      </c>
      <c r="S109" s="2">
        <f>IFERROR(VLOOKUP(A109,'Approved individual amount data'!$A$1:$S$135,19,FALSE),"")</f>
        <v>0</v>
      </c>
    </row>
    <row r="110" spans="1:19" x14ac:dyDescent="0.25">
      <c r="A110" t="str">
        <f>'Local multi year dist'!S110</f>
        <v>Roanoke County</v>
      </c>
      <c r="B110" s="2">
        <f>IFERROR(VLOOKUP(A110,'Approved individual amount data'!$A$1:$S$135,2,FALSE),"")</f>
        <v>0</v>
      </c>
      <c r="C110" s="2">
        <f>IFERROR(VLOOKUP(A110,'Approved individual amount data'!$A$1:$S$135,3,FALSE),"")</f>
        <v>0</v>
      </c>
      <c r="D110" s="2">
        <f>IFERROR(VLOOKUP(A110,'Approved individual amount data'!$A$1:$S$135,4,FALSE),"")</f>
        <v>0</v>
      </c>
      <c r="E110" s="2">
        <f>IFERROR(VLOOKUP(A110,'Approved individual amount data'!$A$1:$S$135,5,FALSE),"")</f>
        <v>174533</v>
      </c>
      <c r="F110" s="2">
        <f>IFERROR(VLOOKUP(A110,'Approved individual amount data'!$A$1:$S$135,6,FALSE),"")</f>
        <v>0</v>
      </c>
      <c r="G110" s="2">
        <f>IFERROR(VLOOKUP(A110,'Approved individual amount data'!$A$1:$S$135,7,FALSE),"")</f>
        <v>0</v>
      </c>
      <c r="H110" s="2">
        <f>IFERROR(VLOOKUP(A110,'Approved individual amount data'!$A$1:$S$135,8,FALSE),"")</f>
        <v>0</v>
      </c>
      <c r="I110" s="2">
        <f>IFERROR(VLOOKUP(A110,'Approved individual amount data'!$A$1:$S$135,9,FALSE),"")</f>
        <v>0</v>
      </c>
      <c r="J110" s="2">
        <f>IFERROR(VLOOKUP(A110,'Approved individual amount data'!$A$1:$S$135,10,FALSE),"")</f>
        <v>0</v>
      </c>
      <c r="K110" s="2">
        <f>IFERROR(VLOOKUP(A110,'Approved individual amount data'!$A$1:$S$135,11,FALSE),"")</f>
        <v>0</v>
      </c>
      <c r="L110" s="2">
        <f>IFERROR(VLOOKUP(A110,'Approved individual amount data'!$A$1:$S$135,12,FALSE),"")</f>
        <v>0</v>
      </c>
      <c r="M110" s="2">
        <f>IFERROR(VLOOKUP(A110,'Approved individual amount data'!$A$1:$S$135,13,FALSE),"")</f>
        <v>0</v>
      </c>
      <c r="N110" s="2">
        <f>IFERROR(VLOOKUP(A110,'Approved individual amount data'!$A$1:$S$135,14,FALSE),"")</f>
        <v>0</v>
      </c>
      <c r="O110" s="2">
        <f>IFERROR(VLOOKUP(A110,'Approved individual amount data'!$A$1:$S$135,15,FALSE),"")</f>
        <v>0</v>
      </c>
      <c r="P110" s="2">
        <f>IFERROR(VLOOKUP(A110,'Approved individual amount data'!$A$1:$S$135,16,FALSE),"")</f>
        <v>0</v>
      </c>
      <c r="Q110" s="2">
        <f>IFERROR(VLOOKUP(A110,'Approved individual amount data'!$A$1:$S$135,17,FALSE),"")</f>
        <v>0</v>
      </c>
      <c r="R110" s="2">
        <f>IFERROR(VLOOKUP(A110,'Approved individual amount data'!$A$1:$S$135,18,FALSE),"")</f>
        <v>0</v>
      </c>
      <c r="S110" s="2">
        <f>IFERROR(VLOOKUP(A110,'Approved individual amount data'!$A$1:$S$135,19,FALSE),"")</f>
        <v>0</v>
      </c>
    </row>
    <row r="111" spans="1:19" x14ac:dyDescent="0.25">
      <c r="A111" t="str">
        <f>'Local multi year dist'!S111</f>
        <v>Roanoke City</v>
      </c>
      <c r="B111" s="2">
        <f>IFERROR(VLOOKUP(A111,'Approved individual amount data'!$A$1:$S$135,2,FALSE),"")</f>
        <v>0</v>
      </c>
      <c r="C111" s="2">
        <f>IFERROR(VLOOKUP(A111,'Approved individual amount data'!$A$1:$S$135,3,FALSE),"")</f>
        <v>0</v>
      </c>
      <c r="D111" s="2">
        <f>IFERROR(VLOOKUP(A111,'Approved individual amount data'!$A$1:$S$135,4,FALSE),"")</f>
        <v>202294</v>
      </c>
      <c r="E111" s="2">
        <f>IFERROR(VLOOKUP(A111,'Approved individual amount data'!$A$1:$S$135,5,FALSE),"")</f>
        <v>0</v>
      </c>
      <c r="F111" s="2">
        <f>IFERROR(VLOOKUP(A111,'Approved individual amount data'!$A$1:$S$135,6,FALSE),"")</f>
        <v>0</v>
      </c>
      <c r="G111" s="2">
        <f>IFERROR(VLOOKUP(A111,'Approved individual amount data'!$A$1:$S$135,7,FALSE),"")</f>
        <v>0</v>
      </c>
      <c r="H111" s="2">
        <f>IFERROR(VLOOKUP(A111,'Approved individual amount data'!$A$1:$S$135,8,FALSE),"")</f>
        <v>0</v>
      </c>
      <c r="I111" s="2">
        <f>IFERROR(VLOOKUP(A111,'Approved individual amount data'!$A$1:$S$135,9,FALSE),"")</f>
        <v>0</v>
      </c>
      <c r="J111" s="2">
        <f>IFERROR(VLOOKUP(A111,'Approved individual amount data'!$A$1:$S$135,10,FALSE),"")</f>
        <v>0</v>
      </c>
      <c r="K111" s="2">
        <f>IFERROR(VLOOKUP(A111,'Approved individual amount data'!$A$1:$S$135,11,FALSE),"")</f>
        <v>0</v>
      </c>
      <c r="L111" s="2">
        <f>IFERROR(VLOOKUP(A111,'Approved individual amount data'!$A$1:$S$135,12,FALSE),"")</f>
        <v>0</v>
      </c>
      <c r="M111" s="2">
        <f>IFERROR(VLOOKUP(A111,'Approved individual amount data'!$A$1:$S$135,13,FALSE),"")</f>
        <v>0</v>
      </c>
      <c r="N111" s="2">
        <f>IFERROR(VLOOKUP(A111,'Approved individual amount data'!$A$1:$S$135,14,FALSE),"")</f>
        <v>0</v>
      </c>
      <c r="O111" s="2">
        <f>IFERROR(VLOOKUP(A111,'Approved individual amount data'!$A$1:$S$135,15,FALSE),"")</f>
        <v>0</v>
      </c>
      <c r="P111" s="2">
        <f>IFERROR(VLOOKUP(A111,'Approved individual amount data'!$A$1:$S$135,16,FALSE),"")</f>
        <v>0</v>
      </c>
      <c r="Q111" s="2">
        <f>IFERROR(VLOOKUP(A111,'Approved individual amount data'!$A$1:$S$135,17,FALSE),"")</f>
        <v>0</v>
      </c>
      <c r="R111" s="2">
        <f>IFERROR(VLOOKUP(A111,'Approved individual amount data'!$A$1:$S$135,18,FALSE),"")</f>
        <v>0</v>
      </c>
      <c r="S111" s="2">
        <f>IFERROR(VLOOKUP(A111,'Approved individual amount data'!$A$1:$S$135,19,FALSE),"")</f>
        <v>0</v>
      </c>
    </row>
    <row r="112" spans="1:19" x14ac:dyDescent="0.25">
      <c r="A112" t="str">
        <f>'Local multi year dist'!S112</f>
        <v>Rockbridge County</v>
      </c>
      <c r="B112" s="2">
        <f>IFERROR(VLOOKUP(A112,'Approved individual amount data'!$A$1:$S$135,2,FALSE),"")</f>
        <v>0</v>
      </c>
      <c r="C112" s="2">
        <f>IFERROR(VLOOKUP(A112,'Approved individual amount data'!$A$1:$S$135,3,FALSE),"")</f>
        <v>0</v>
      </c>
      <c r="D112" s="2">
        <f>IFERROR(VLOOKUP(A112,'Approved individual amount data'!$A$1:$S$135,4,FALSE),"")</f>
        <v>0</v>
      </c>
      <c r="E112" s="2">
        <f>IFERROR(VLOOKUP(A112,'Approved individual amount data'!$A$1:$S$135,5,FALSE),"")</f>
        <v>31989</v>
      </c>
      <c r="F112" s="2">
        <f>IFERROR(VLOOKUP(A112,'Approved individual amount data'!$A$1:$S$135,6,FALSE),"")</f>
        <v>0</v>
      </c>
      <c r="G112" s="2">
        <f>IFERROR(VLOOKUP(A112,'Approved individual amount data'!$A$1:$S$135,7,FALSE),"")</f>
        <v>0</v>
      </c>
      <c r="H112" s="2">
        <f>IFERROR(VLOOKUP(A112,'Approved individual amount data'!$A$1:$S$135,8,FALSE),"")</f>
        <v>0</v>
      </c>
      <c r="I112" s="2">
        <f>IFERROR(VLOOKUP(A112,'Approved individual amount data'!$A$1:$S$135,9,FALSE),"")</f>
        <v>0</v>
      </c>
      <c r="J112" s="2">
        <f>IFERROR(VLOOKUP(A112,'Approved individual amount data'!$A$1:$S$135,10,FALSE),"")</f>
        <v>0</v>
      </c>
      <c r="K112" s="2">
        <f>IFERROR(VLOOKUP(A112,'Approved individual amount data'!$A$1:$S$135,11,FALSE),"")</f>
        <v>0</v>
      </c>
      <c r="L112" s="2">
        <f>IFERROR(VLOOKUP(A112,'Approved individual amount data'!$A$1:$S$135,12,FALSE),"")</f>
        <v>0</v>
      </c>
      <c r="M112" s="2">
        <f>IFERROR(VLOOKUP(A112,'Approved individual amount data'!$A$1:$S$135,13,FALSE),"")</f>
        <v>0</v>
      </c>
      <c r="N112" s="2">
        <f>IFERROR(VLOOKUP(A112,'Approved individual amount data'!$A$1:$S$135,14,FALSE),"")</f>
        <v>0</v>
      </c>
      <c r="O112" s="2">
        <f>IFERROR(VLOOKUP(A112,'Approved individual amount data'!$A$1:$S$135,15,FALSE),"")</f>
        <v>0</v>
      </c>
      <c r="P112" s="2">
        <f>IFERROR(VLOOKUP(A112,'Approved individual amount data'!$A$1:$S$135,16,FALSE),"")</f>
        <v>0</v>
      </c>
      <c r="Q112" s="2">
        <f>IFERROR(VLOOKUP(A112,'Approved individual amount data'!$A$1:$S$135,17,FALSE),"")</f>
        <v>0</v>
      </c>
      <c r="R112" s="2">
        <f>IFERROR(VLOOKUP(A112,'Approved individual amount data'!$A$1:$S$135,18,FALSE),"")</f>
        <v>0</v>
      </c>
      <c r="S112" s="2">
        <f>IFERROR(VLOOKUP(A112,'Approved individual amount data'!$A$1:$S$135,19,FALSE),"")</f>
        <v>0</v>
      </c>
    </row>
    <row r="113" spans="1:19" x14ac:dyDescent="0.25">
      <c r="A113" t="str">
        <f>'Local multi year dist'!S113</f>
        <v>Rockingham County</v>
      </c>
      <c r="B113" s="2">
        <f>IFERROR(VLOOKUP(A113,'Approved individual amount data'!$A$1:$S$135,2,FALSE),"")</f>
        <v>0</v>
      </c>
      <c r="C113" s="2">
        <f>IFERROR(VLOOKUP(A113,'Approved individual amount data'!$A$1:$S$135,3,FALSE),"")</f>
        <v>0</v>
      </c>
      <c r="D113" s="2">
        <f>IFERROR(VLOOKUP(A113,'Approved individual amount data'!$A$1:$S$135,4,FALSE),"")</f>
        <v>0</v>
      </c>
      <c r="E113" s="2">
        <f>IFERROR(VLOOKUP(A113,'Approved individual amount data'!$A$1:$S$135,5,FALSE),"")</f>
        <v>84359</v>
      </c>
      <c r="F113" s="2">
        <f>IFERROR(VLOOKUP(A113,'Approved individual amount data'!$A$1:$S$135,6,FALSE),"")</f>
        <v>0</v>
      </c>
      <c r="G113" s="2">
        <f>IFERROR(VLOOKUP(A113,'Approved individual amount data'!$A$1:$S$135,7,FALSE),"")</f>
        <v>0</v>
      </c>
      <c r="H113" s="2">
        <f>IFERROR(VLOOKUP(A113,'Approved individual amount data'!$A$1:$S$135,8,FALSE),"")</f>
        <v>0</v>
      </c>
      <c r="I113" s="2">
        <f>IFERROR(VLOOKUP(A113,'Approved individual amount data'!$A$1:$S$135,9,FALSE),"")</f>
        <v>0</v>
      </c>
      <c r="J113" s="2">
        <f>IFERROR(VLOOKUP(A113,'Approved individual amount data'!$A$1:$S$135,10,FALSE),"")</f>
        <v>0</v>
      </c>
      <c r="K113" s="2">
        <f>IFERROR(VLOOKUP(A113,'Approved individual amount data'!$A$1:$S$135,11,FALSE),"")</f>
        <v>0</v>
      </c>
      <c r="L113" s="2">
        <f>IFERROR(VLOOKUP(A113,'Approved individual amount data'!$A$1:$S$135,12,FALSE),"")</f>
        <v>0</v>
      </c>
      <c r="M113" s="2">
        <f>IFERROR(VLOOKUP(A113,'Approved individual amount data'!$A$1:$S$135,13,FALSE),"")</f>
        <v>0</v>
      </c>
      <c r="N113" s="2">
        <f>IFERROR(VLOOKUP(A113,'Approved individual amount data'!$A$1:$S$135,14,FALSE),"")</f>
        <v>0</v>
      </c>
      <c r="O113" s="2">
        <f>IFERROR(VLOOKUP(A113,'Approved individual amount data'!$A$1:$S$135,15,FALSE),"")</f>
        <v>0</v>
      </c>
      <c r="P113" s="2">
        <f>IFERROR(VLOOKUP(A113,'Approved individual amount data'!$A$1:$S$135,16,FALSE),"")</f>
        <v>0</v>
      </c>
      <c r="Q113" s="2">
        <f>IFERROR(VLOOKUP(A113,'Approved individual amount data'!$A$1:$S$135,17,FALSE),"")</f>
        <v>0</v>
      </c>
      <c r="R113" s="2">
        <f>IFERROR(VLOOKUP(A113,'Approved individual amount data'!$A$1:$S$135,18,FALSE),"")</f>
        <v>0</v>
      </c>
      <c r="S113" s="2">
        <f>IFERROR(VLOOKUP(A113,'Approved individual amount data'!$A$1:$S$135,19,FALSE),"")</f>
        <v>0</v>
      </c>
    </row>
    <row r="114" spans="1:19" x14ac:dyDescent="0.25">
      <c r="A114" t="str">
        <f>'Local multi year dist'!S114</f>
        <v>Russell County</v>
      </c>
      <c r="B114" s="2">
        <f>IFERROR(VLOOKUP(A114,'Approved individual amount data'!$A$1:$S$135,2,FALSE),"")</f>
        <v>0</v>
      </c>
      <c r="C114" s="2">
        <f>IFERROR(VLOOKUP(A114,'Approved individual amount data'!$A$1:$S$135,3,FALSE),"")</f>
        <v>0</v>
      </c>
      <c r="D114" s="2">
        <f>IFERROR(VLOOKUP(A114,'Approved individual amount data'!$A$1:$S$135,4,FALSE),"")</f>
        <v>0</v>
      </c>
      <c r="E114" s="2">
        <f>IFERROR(VLOOKUP(A114,'Approved individual amount data'!$A$1:$S$135,5,FALSE),"")</f>
        <v>0</v>
      </c>
      <c r="F114" s="2">
        <f>IFERROR(VLOOKUP(A114,'Approved individual amount data'!$A$1:$S$135,6,FALSE),"")</f>
        <v>0</v>
      </c>
      <c r="G114" s="2">
        <f>IFERROR(VLOOKUP(A114,'Approved individual amount data'!$A$1:$S$135,7,FALSE),"")</f>
        <v>0</v>
      </c>
      <c r="H114" s="2">
        <f>IFERROR(VLOOKUP(A114,'Approved individual amount data'!$A$1:$S$135,8,FALSE),"")</f>
        <v>0</v>
      </c>
      <c r="I114" s="2">
        <f>IFERROR(VLOOKUP(A114,'Approved individual amount data'!$A$1:$S$135,9,FALSE),"")</f>
        <v>0</v>
      </c>
      <c r="J114" s="2">
        <f>IFERROR(VLOOKUP(A114,'Approved individual amount data'!$A$1:$S$135,10,FALSE),"")</f>
        <v>0</v>
      </c>
      <c r="K114" s="2">
        <f>IFERROR(VLOOKUP(A114,'Approved individual amount data'!$A$1:$S$135,11,FALSE),"")</f>
        <v>0</v>
      </c>
      <c r="L114" s="2">
        <f>IFERROR(VLOOKUP(A114,'Approved individual amount data'!$A$1:$S$135,12,FALSE),"")</f>
        <v>0</v>
      </c>
      <c r="M114" s="2">
        <f>IFERROR(VLOOKUP(A114,'Approved individual amount data'!$A$1:$S$135,13,FALSE),"")</f>
        <v>0</v>
      </c>
      <c r="N114" s="2">
        <f>IFERROR(VLOOKUP(A114,'Approved individual amount data'!$A$1:$S$135,14,FALSE),"")</f>
        <v>0</v>
      </c>
      <c r="O114" s="2">
        <f>IFERROR(VLOOKUP(A114,'Approved individual amount data'!$A$1:$S$135,15,FALSE),"")</f>
        <v>0</v>
      </c>
      <c r="P114" s="2">
        <f>IFERROR(VLOOKUP(A114,'Approved individual amount data'!$A$1:$S$135,16,FALSE),"")</f>
        <v>0</v>
      </c>
      <c r="Q114" s="2">
        <f>IFERROR(VLOOKUP(A114,'Approved individual amount data'!$A$1:$S$135,17,FALSE),"")</f>
        <v>0</v>
      </c>
      <c r="R114" s="2">
        <f>IFERROR(VLOOKUP(A114,'Approved individual amount data'!$A$1:$S$135,18,FALSE),"")</f>
        <v>0</v>
      </c>
      <c r="S114" s="2">
        <f>IFERROR(VLOOKUP(A114,'Approved individual amount data'!$A$1:$S$135,19,FALSE),"")</f>
        <v>0</v>
      </c>
    </row>
    <row r="115" spans="1:19" x14ac:dyDescent="0.25">
      <c r="A115" t="str">
        <f>'Local multi year dist'!S115</f>
        <v>Salem City</v>
      </c>
      <c r="B115" s="2">
        <f>IFERROR(VLOOKUP(A115,'Approved individual amount data'!$A$1:$S$135,2,FALSE),"")</f>
        <v>0</v>
      </c>
      <c r="C115" s="2">
        <f>IFERROR(VLOOKUP(A115,'Approved individual amount data'!$A$1:$S$135,3,FALSE),"")</f>
        <v>0</v>
      </c>
      <c r="D115" s="2">
        <f>IFERROR(VLOOKUP(A115,'Approved individual amount data'!$A$1:$S$135,4,FALSE),"")</f>
        <v>0</v>
      </c>
      <c r="E115" s="2">
        <f>IFERROR(VLOOKUP(A115,'Approved individual amount data'!$A$1:$S$135,5,FALSE),"")</f>
        <v>0</v>
      </c>
      <c r="F115" s="2">
        <f>IFERROR(VLOOKUP(A115,'Approved individual amount data'!$A$1:$S$135,6,FALSE),"")</f>
        <v>0</v>
      </c>
      <c r="G115" s="2">
        <f>IFERROR(VLOOKUP(A115,'Approved individual amount data'!$A$1:$S$135,7,FALSE),"")</f>
        <v>0</v>
      </c>
      <c r="H115" s="2">
        <f>IFERROR(VLOOKUP(A115,'Approved individual amount data'!$A$1:$S$135,8,FALSE),"")</f>
        <v>0</v>
      </c>
      <c r="I115" s="2">
        <f>IFERROR(VLOOKUP(A115,'Approved individual amount data'!$A$1:$S$135,9,FALSE),"")</f>
        <v>0</v>
      </c>
      <c r="J115" s="2">
        <f>IFERROR(VLOOKUP(A115,'Approved individual amount data'!$A$1:$S$135,10,FALSE),"")</f>
        <v>0</v>
      </c>
      <c r="K115" s="2">
        <f>IFERROR(VLOOKUP(A115,'Approved individual amount data'!$A$1:$S$135,11,FALSE),"")</f>
        <v>0</v>
      </c>
      <c r="L115" s="2">
        <f>IFERROR(VLOOKUP(A115,'Approved individual amount data'!$A$1:$S$135,12,FALSE),"")</f>
        <v>0</v>
      </c>
      <c r="M115" s="2">
        <f>IFERROR(VLOOKUP(A115,'Approved individual amount data'!$A$1:$S$135,13,FALSE),"")</f>
        <v>0</v>
      </c>
      <c r="N115" s="2">
        <f>IFERROR(VLOOKUP(A115,'Approved individual amount data'!$A$1:$S$135,14,FALSE),"")</f>
        <v>0</v>
      </c>
      <c r="O115" s="2">
        <f>IFERROR(VLOOKUP(A115,'Approved individual amount data'!$A$1:$S$135,15,FALSE),"")</f>
        <v>0</v>
      </c>
      <c r="P115" s="2">
        <f>IFERROR(VLOOKUP(A115,'Approved individual amount data'!$A$1:$S$135,16,FALSE),"")</f>
        <v>0</v>
      </c>
      <c r="Q115" s="2">
        <f>IFERROR(VLOOKUP(A115,'Approved individual amount data'!$A$1:$S$135,17,FALSE),"")</f>
        <v>0</v>
      </c>
      <c r="R115" s="2">
        <f>IFERROR(VLOOKUP(A115,'Approved individual amount data'!$A$1:$S$135,18,FALSE),"")</f>
        <v>0</v>
      </c>
      <c r="S115" s="2">
        <f>IFERROR(VLOOKUP(A115,'Approved individual amount data'!$A$1:$S$135,19,FALSE),"")</f>
        <v>0</v>
      </c>
    </row>
    <row r="116" spans="1:19" x14ac:dyDescent="0.25">
      <c r="A116" t="str">
        <f>'Local multi year dist'!S116</f>
        <v>Scott County</v>
      </c>
      <c r="B116" s="2">
        <f>IFERROR(VLOOKUP(A116,'Approved individual amount data'!$A$1:$S$135,2,FALSE),"")</f>
        <v>0</v>
      </c>
      <c r="C116" s="2">
        <f>IFERROR(VLOOKUP(A116,'Approved individual amount data'!$A$1:$S$135,3,FALSE),"")</f>
        <v>0</v>
      </c>
      <c r="D116" s="2">
        <f>IFERROR(VLOOKUP(A116,'Approved individual amount data'!$A$1:$S$135,4,FALSE),"")</f>
        <v>10254</v>
      </c>
      <c r="E116" s="2">
        <f>IFERROR(VLOOKUP(A116,'Approved individual amount data'!$A$1:$S$135,5,FALSE),"")</f>
        <v>15054</v>
      </c>
      <c r="F116" s="2">
        <f>IFERROR(VLOOKUP(A116,'Approved individual amount data'!$A$1:$S$135,6,FALSE),"")</f>
        <v>0</v>
      </c>
      <c r="G116" s="2">
        <f>IFERROR(VLOOKUP(A116,'Approved individual amount data'!$A$1:$S$135,7,FALSE),"")</f>
        <v>0</v>
      </c>
      <c r="H116" s="2">
        <f>IFERROR(VLOOKUP(A116,'Approved individual amount data'!$A$1:$S$135,8,FALSE),"")</f>
        <v>0</v>
      </c>
      <c r="I116" s="2">
        <f>IFERROR(VLOOKUP(A116,'Approved individual amount data'!$A$1:$S$135,9,FALSE),"")</f>
        <v>0</v>
      </c>
      <c r="J116" s="2">
        <f>IFERROR(VLOOKUP(A116,'Approved individual amount data'!$A$1:$S$135,10,FALSE),"")</f>
        <v>0</v>
      </c>
      <c r="K116" s="2">
        <f>IFERROR(VLOOKUP(A116,'Approved individual amount data'!$A$1:$S$135,11,FALSE),"")</f>
        <v>0</v>
      </c>
      <c r="L116" s="2">
        <f>IFERROR(VLOOKUP(A116,'Approved individual amount data'!$A$1:$S$135,12,FALSE),"")</f>
        <v>0</v>
      </c>
      <c r="M116" s="2">
        <f>IFERROR(VLOOKUP(A116,'Approved individual amount data'!$A$1:$S$135,13,FALSE),"")</f>
        <v>0</v>
      </c>
      <c r="N116" s="2">
        <f>IFERROR(VLOOKUP(A116,'Approved individual amount data'!$A$1:$S$135,14,FALSE),"")</f>
        <v>0</v>
      </c>
      <c r="O116" s="2">
        <f>IFERROR(VLOOKUP(A116,'Approved individual amount data'!$A$1:$S$135,15,FALSE),"")</f>
        <v>0</v>
      </c>
      <c r="P116" s="2">
        <f>IFERROR(VLOOKUP(A116,'Approved individual amount data'!$A$1:$S$135,16,FALSE),"")</f>
        <v>0</v>
      </c>
      <c r="Q116" s="2">
        <f>IFERROR(VLOOKUP(A116,'Approved individual amount data'!$A$1:$S$135,17,FALSE),"")</f>
        <v>0</v>
      </c>
      <c r="R116" s="2">
        <f>IFERROR(VLOOKUP(A116,'Approved individual amount data'!$A$1:$S$135,18,FALSE),"")</f>
        <v>0</v>
      </c>
      <c r="S116" s="2">
        <f>IFERROR(VLOOKUP(A116,'Approved individual amount data'!$A$1:$S$135,19,FALSE),"")</f>
        <v>0</v>
      </c>
    </row>
    <row r="117" spans="1:19" x14ac:dyDescent="0.25">
      <c r="A117" t="str">
        <f>'Local multi year dist'!S117</f>
        <v>Shenandoah County</v>
      </c>
      <c r="B117" s="2">
        <f>IFERROR(VLOOKUP(A117,'Approved individual amount data'!$A$1:$S$135,2,FALSE),"")</f>
        <v>0</v>
      </c>
      <c r="C117" s="2">
        <f>IFERROR(VLOOKUP(A117,'Approved individual amount data'!$A$1:$S$135,3,FALSE),"")</f>
        <v>0</v>
      </c>
      <c r="D117" s="2">
        <f>IFERROR(VLOOKUP(A117,'Approved individual amount data'!$A$1:$S$135,4,FALSE),"")</f>
        <v>0</v>
      </c>
      <c r="E117" s="2">
        <f>IFERROR(VLOOKUP(A117,'Approved individual amount data'!$A$1:$S$135,5,FALSE),"")</f>
        <v>0</v>
      </c>
      <c r="F117" s="2">
        <f>IFERROR(VLOOKUP(A117,'Approved individual amount data'!$A$1:$S$135,6,FALSE),"")</f>
        <v>0</v>
      </c>
      <c r="G117" s="2">
        <f>IFERROR(VLOOKUP(A117,'Approved individual amount data'!$A$1:$S$135,7,FALSE),"")</f>
        <v>0</v>
      </c>
      <c r="H117" s="2">
        <f>IFERROR(VLOOKUP(A117,'Approved individual amount data'!$A$1:$S$135,8,FALSE),"")</f>
        <v>0</v>
      </c>
      <c r="I117" s="2">
        <f>IFERROR(VLOOKUP(A117,'Approved individual amount data'!$A$1:$S$135,9,FALSE),"")</f>
        <v>0</v>
      </c>
      <c r="J117" s="2">
        <f>IFERROR(VLOOKUP(A117,'Approved individual amount data'!$A$1:$S$135,10,FALSE),"")</f>
        <v>0</v>
      </c>
      <c r="K117" s="2">
        <f>IFERROR(VLOOKUP(A117,'Approved individual amount data'!$A$1:$S$135,11,FALSE),"")</f>
        <v>0</v>
      </c>
      <c r="L117" s="2">
        <f>IFERROR(VLOOKUP(A117,'Approved individual amount data'!$A$1:$S$135,12,FALSE),"")</f>
        <v>0</v>
      </c>
      <c r="M117" s="2">
        <f>IFERROR(VLOOKUP(A117,'Approved individual amount data'!$A$1:$S$135,13,FALSE),"")</f>
        <v>0</v>
      </c>
      <c r="N117" s="2">
        <f>IFERROR(VLOOKUP(A117,'Approved individual amount data'!$A$1:$S$135,14,FALSE),"")</f>
        <v>0</v>
      </c>
      <c r="O117" s="2">
        <f>IFERROR(VLOOKUP(A117,'Approved individual amount data'!$A$1:$S$135,15,FALSE),"")</f>
        <v>0</v>
      </c>
      <c r="P117" s="2">
        <f>IFERROR(VLOOKUP(A117,'Approved individual amount data'!$A$1:$S$135,16,FALSE),"")</f>
        <v>0</v>
      </c>
      <c r="Q117" s="2">
        <f>IFERROR(VLOOKUP(A117,'Approved individual amount data'!$A$1:$S$135,17,FALSE),"")</f>
        <v>0</v>
      </c>
      <c r="R117" s="2">
        <f>IFERROR(VLOOKUP(A117,'Approved individual amount data'!$A$1:$S$135,18,FALSE),"")</f>
        <v>0</v>
      </c>
      <c r="S117" s="2">
        <f>IFERROR(VLOOKUP(A117,'Approved individual amount data'!$A$1:$S$135,19,FALSE),"")</f>
        <v>0</v>
      </c>
    </row>
    <row r="118" spans="1:19" x14ac:dyDescent="0.25">
      <c r="A118" t="str">
        <f>'Local multi year dist'!S118</f>
        <v>Smyth County</v>
      </c>
      <c r="B118" s="2">
        <f>IFERROR(VLOOKUP(A118,'Approved individual amount data'!$A$1:$S$135,2,FALSE),"")</f>
        <v>0</v>
      </c>
      <c r="C118" s="2">
        <f>IFERROR(VLOOKUP(A118,'Approved individual amount data'!$A$1:$S$135,3,FALSE),"")</f>
        <v>0</v>
      </c>
      <c r="D118" s="2">
        <f>IFERROR(VLOOKUP(A118,'Approved individual amount data'!$A$1:$S$135,4,FALSE),"")</f>
        <v>37525</v>
      </c>
      <c r="E118" s="2">
        <f>IFERROR(VLOOKUP(A118,'Approved individual amount data'!$A$1:$S$135,5,FALSE),"")</f>
        <v>43060</v>
      </c>
      <c r="F118" s="2">
        <f>IFERROR(VLOOKUP(A118,'Approved individual amount data'!$A$1:$S$135,6,FALSE),"")</f>
        <v>0</v>
      </c>
      <c r="G118" s="2">
        <f>IFERROR(VLOOKUP(A118,'Approved individual amount data'!$A$1:$S$135,7,FALSE),"")</f>
        <v>0</v>
      </c>
      <c r="H118" s="2">
        <f>IFERROR(VLOOKUP(A118,'Approved individual amount data'!$A$1:$S$135,8,FALSE),"")</f>
        <v>0</v>
      </c>
      <c r="I118" s="2">
        <f>IFERROR(VLOOKUP(A118,'Approved individual amount data'!$A$1:$S$135,9,FALSE),"")</f>
        <v>0</v>
      </c>
      <c r="J118" s="2">
        <f>IFERROR(VLOOKUP(A118,'Approved individual amount data'!$A$1:$S$135,10,FALSE),"")</f>
        <v>0</v>
      </c>
      <c r="K118" s="2">
        <f>IFERROR(VLOOKUP(A118,'Approved individual amount data'!$A$1:$S$135,11,FALSE),"")</f>
        <v>0</v>
      </c>
      <c r="L118" s="2">
        <f>IFERROR(VLOOKUP(A118,'Approved individual amount data'!$A$1:$S$135,12,FALSE),"")</f>
        <v>0</v>
      </c>
      <c r="M118" s="2">
        <f>IFERROR(VLOOKUP(A118,'Approved individual amount data'!$A$1:$S$135,13,FALSE),"")</f>
        <v>0</v>
      </c>
      <c r="N118" s="2">
        <f>IFERROR(VLOOKUP(A118,'Approved individual amount data'!$A$1:$S$135,14,FALSE),"")</f>
        <v>0</v>
      </c>
      <c r="O118" s="2">
        <f>IFERROR(VLOOKUP(A118,'Approved individual amount data'!$A$1:$S$135,15,FALSE),"")</f>
        <v>0</v>
      </c>
      <c r="P118" s="2">
        <f>IFERROR(VLOOKUP(A118,'Approved individual amount data'!$A$1:$S$135,16,FALSE),"")</f>
        <v>0</v>
      </c>
      <c r="Q118" s="2">
        <f>IFERROR(VLOOKUP(A118,'Approved individual amount data'!$A$1:$S$135,17,FALSE),"")</f>
        <v>0</v>
      </c>
      <c r="R118" s="2">
        <f>IFERROR(VLOOKUP(A118,'Approved individual amount data'!$A$1:$S$135,18,FALSE),"")</f>
        <v>0</v>
      </c>
      <c r="S118" s="2">
        <f>IFERROR(VLOOKUP(A118,'Approved individual amount data'!$A$1:$S$135,19,FALSE),"")</f>
        <v>0</v>
      </c>
    </row>
    <row r="119" spans="1:19" x14ac:dyDescent="0.25">
      <c r="A119" t="str">
        <f>'Local multi year dist'!S119</f>
        <v>Southampton County</v>
      </c>
      <c r="B119" s="2">
        <f>IFERROR(VLOOKUP(A119,'Approved individual amount data'!$A$1:$S$135,2,FALSE),"")</f>
        <v>0</v>
      </c>
      <c r="C119" s="2">
        <f>IFERROR(VLOOKUP(A119,'Approved individual amount data'!$A$1:$S$135,3,FALSE),"")</f>
        <v>0</v>
      </c>
      <c r="D119" s="2">
        <f>IFERROR(VLOOKUP(A119,'Approved individual amount data'!$A$1:$S$135,4,FALSE),"")</f>
        <v>0</v>
      </c>
      <c r="E119" s="2">
        <f>IFERROR(VLOOKUP(A119,'Approved individual amount data'!$A$1:$S$135,5,FALSE),"")</f>
        <v>0</v>
      </c>
      <c r="F119" s="2">
        <f>IFERROR(VLOOKUP(A119,'Approved individual amount data'!$A$1:$S$135,6,FALSE),"")</f>
        <v>0</v>
      </c>
      <c r="G119" s="2">
        <f>IFERROR(VLOOKUP(A119,'Approved individual amount data'!$A$1:$S$135,7,FALSE),"")</f>
        <v>0</v>
      </c>
      <c r="H119" s="2">
        <f>IFERROR(VLOOKUP(A119,'Approved individual amount data'!$A$1:$S$135,8,FALSE),"")</f>
        <v>0</v>
      </c>
      <c r="I119" s="2">
        <f>IFERROR(VLOOKUP(A119,'Approved individual amount data'!$A$1:$S$135,9,FALSE),"")</f>
        <v>0</v>
      </c>
      <c r="J119" s="2">
        <f>IFERROR(VLOOKUP(A119,'Approved individual amount data'!$A$1:$S$135,10,FALSE),"")</f>
        <v>0</v>
      </c>
      <c r="K119" s="2">
        <f>IFERROR(VLOOKUP(A119,'Approved individual amount data'!$A$1:$S$135,11,FALSE),"")</f>
        <v>0</v>
      </c>
      <c r="L119" s="2">
        <f>IFERROR(VLOOKUP(A119,'Approved individual amount data'!$A$1:$S$135,12,FALSE),"")</f>
        <v>0</v>
      </c>
      <c r="M119" s="2">
        <f>IFERROR(VLOOKUP(A119,'Approved individual amount data'!$A$1:$S$135,13,FALSE),"")</f>
        <v>0</v>
      </c>
      <c r="N119" s="2">
        <f>IFERROR(VLOOKUP(A119,'Approved individual amount data'!$A$1:$S$135,14,FALSE),"")</f>
        <v>0</v>
      </c>
      <c r="O119" s="2">
        <f>IFERROR(VLOOKUP(A119,'Approved individual amount data'!$A$1:$S$135,15,FALSE),"")</f>
        <v>0</v>
      </c>
      <c r="P119" s="2">
        <f>IFERROR(VLOOKUP(A119,'Approved individual amount data'!$A$1:$S$135,16,FALSE),"")</f>
        <v>0</v>
      </c>
      <c r="Q119" s="2">
        <f>IFERROR(VLOOKUP(A119,'Approved individual amount data'!$A$1:$S$135,17,FALSE),"")</f>
        <v>0</v>
      </c>
      <c r="R119" s="2">
        <f>IFERROR(VLOOKUP(A119,'Approved individual amount data'!$A$1:$S$135,18,FALSE),"")</f>
        <v>0</v>
      </c>
      <c r="S119" s="2">
        <f>IFERROR(VLOOKUP(A119,'Approved individual amount data'!$A$1:$S$135,19,FALSE),"")</f>
        <v>0</v>
      </c>
    </row>
    <row r="120" spans="1:19" x14ac:dyDescent="0.25">
      <c r="A120" t="str">
        <f>'Local multi year dist'!S120</f>
        <v>Spotsylvania County</v>
      </c>
      <c r="B120" s="2">
        <f>IFERROR(VLOOKUP(A120,'Approved individual amount data'!$A$1:$S$135,2,FALSE),"")</f>
        <v>0</v>
      </c>
      <c r="C120" s="2">
        <f>IFERROR(VLOOKUP(A120,'Approved individual amount data'!$A$1:$S$135,3,FALSE),"")</f>
        <v>0</v>
      </c>
      <c r="D120" s="2">
        <f>IFERROR(VLOOKUP(A120,'Approved individual amount data'!$A$1:$S$135,4,FALSE),"")</f>
        <v>91390</v>
      </c>
      <c r="E120" s="2">
        <f>IFERROR(VLOOKUP(A120,'Approved individual amount data'!$A$1:$S$135,5,FALSE),"")</f>
        <v>43168</v>
      </c>
      <c r="F120" s="2">
        <f>IFERROR(VLOOKUP(A120,'Approved individual amount data'!$A$1:$S$135,6,FALSE),"")</f>
        <v>0</v>
      </c>
      <c r="G120" s="2">
        <f>IFERROR(VLOOKUP(A120,'Approved individual amount data'!$A$1:$S$135,7,FALSE),"")</f>
        <v>0</v>
      </c>
      <c r="H120" s="2">
        <f>IFERROR(VLOOKUP(A120,'Approved individual amount data'!$A$1:$S$135,8,FALSE),"")</f>
        <v>0</v>
      </c>
      <c r="I120" s="2">
        <f>IFERROR(VLOOKUP(A120,'Approved individual amount data'!$A$1:$S$135,9,FALSE),"")</f>
        <v>0</v>
      </c>
      <c r="J120" s="2">
        <f>IFERROR(VLOOKUP(A120,'Approved individual amount data'!$A$1:$S$135,10,FALSE),"")</f>
        <v>0</v>
      </c>
      <c r="K120" s="2">
        <f>IFERROR(VLOOKUP(A120,'Approved individual amount data'!$A$1:$S$135,11,FALSE),"")</f>
        <v>0</v>
      </c>
      <c r="L120" s="2">
        <f>IFERROR(VLOOKUP(A120,'Approved individual amount data'!$A$1:$S$135,12,FALSE),"")</f>
        <v>0</v>
      </c>
      <c r="M120" s="2">
        <f>IFERROR(VLOOKUP(A120,'Approved individual amount data'!$A$1:$S$135,13,FALSE),"")</f>
        <v>0</v>
      </c>
      <c r="N120" s="2">
        <f>IFERROR(VLOOKUP(A120,'Approved individual amount data'!$A$1:$S$135,14,FALSE),"")</f>
        <v>0</v>
      </c>
      <c r="O120" s="2">
        <f>IFERROR(VLOOKUP(A120,'Approved individual amount data'!$A$1:$S$135,15,FALSE),"")</f>
        <v>0</v>
      </c>
      <c r="P120" s="2">
        <f>IFERROR(VLOOKUP(A120,'Approved individual amount data'!$A$1:$S$135,16,FALSE),"")</f>
        <v>0</v>
      </c>
      <c r="Q120" s="2">
        <f>IFERROR(VLOOKUP(A120,'Approved individual amount data'!$A$1:$S$135,17,FALSE),"")</f>
        <v>0</v>
      </c>
      <c r="R120" s="2">
        <f>IFERROR(VLOOKUP(A120,'Approved individual amount data'!$A$1:$S$135,18,FALSE),"")</f>
        <v>0</v>
      </c>
      <c r="S120" s="2">
        <f>IFERROR(VLOOKUP(A120,'Approved individual amount data'!$A$1:$S$135,19,FALSE),"")</f>
        <v>0</v>
      </c>
    </row>
    <row r="121" spans="1:19" x14ac:dyDescent="0.25">
      <c r="A121" t="str">
        <f>'Local multi year dist'!S121</f>
        <v>Stafford County</v>
      </c>
      <c r="B121" s="2">
        <f>IFERROR(VLOOKUP(A121,'Approved individual amount data'!$A$1:$S$135,2,FALSE),"")</f>
        <v>0</v>
      </c>
      <c r="C121" s="2">
        <f>IFERROR(VLOOKUP(A121,'Approved individual amount data'!$A$1:$S$135,3,FALSE),"")</f>
        <v>0</v>
      </c>
      <c r="D121" s="2">
        <f>IFERROR(VLOOKUP(A121,'Approved individual amount data'!$A$1:$S$135,4,FALSE),"")</f>
        <v>157025</v>
      </c>
      <c r="E121" s="2">
        <f>IFERROR(VLOOKUP(A121,'Approved individual amount data'!$A$1:$S$135,5,FALSE),"")</f>
        <v>11100</v>
      </c>
      <c r="F121" s="2">
        <f>IFERROR(VLOOKUP(A121,'Approved individual amount data'!$A$1:$S$135,6,FALSE),"")</f>
        <v>0</v>
      </c>
      <c r="G121" s="2">
        <f>IFERROR(VLOOKUP(A121,'Approved individual amount data'!$A$1:$S$135,7,FALSE),"")</f>
        <v>0</v>
      </c>
      <c r="H121" s="2">
        <f>IFERROR(VLOOKUP(A121,'Approved individual amount data'!$A$1:$S$135,8,FALSE),"")</f>
        <v>0</v>
      </c>
      <c r="I121" s="2">
        <f>IFERROR(VLOOKUP(A121,'Approved individual amount data'!$A$1:$S$135,9,FALSE),"")</f>
        <v>0</v>
      </c>
      <c r="J121" s="2">
        <f>IFERROR(VLOOKUP(A121,'Approved individual amount data'!$A$1:$S$135,10,FALSE),"")</f>
        <v>0</v>
      </c>
      <c r="K121" s="2">
        <f>IFERROR(VLOOKUP(A121,'Approved individual amount data'!$A$1:$S$135,11,FALSE),"")</f>
        <v>0</v>
      </c>
      <c r="L121" s="2">
        <f>IFERROR(VLOOKUP(A121,'Approved individual amount data'!$A$1:$S$135,12,FALSE),"")</f>
        <v>0</v>
      </c>
      <c r="M121" s="2">
        <f>IFERROR(VLOOKUP(A121,'Approved individual amount data'!$A$1:$S$135,13,FALSE),"")</f>
        <v>0</v>
      </c>
      <c r="N121" s="2">
        <f>IFERROR(VLOOKUP(A121,'Approved individual amount data'!$A$1:$S$135,14,FALSE),"")</f>
        <v>0</v>
      </c>
      <c r="O121" s="2">
        <f>IFERROR(VLOOKUP(A121,'Approved individual amount data'!$A$1:$S$135,15,FALSE),"")</f>
        <v>0</v>
      </c>
      <c r="P121" s="2">
        <f>IFERROR(VLOOKUP(A121,'Approved individual amount data'!$A$1:$S$135,16,FALSE),"")</f>
        <v>0</v>
      </c>
      <c r="Q121" s="2">
        <f>IFERROR(VLOOKUP(A121,'Approved individual amount data'!$A$1:$S$135,17,FALSE),"")</f>
        <v>0</v>
      </c>
      <c r="R121" s="2">
        <f>IFERROR(VLOOKUP(A121,'Approved individual amount data'!$A$1:$S$135,18,FALSE),"")</f>
        <v>0</v>
      </c>
      <c r="S121" s="2">
        <f>IFERROR(VLOOKUP(A121,'Approved individual amount data'!$A$1:$S$135,19,FALSE),"")</f>
        <v>0</v>
      </c>
    </row>
    <row r="122" spans="1:19" x14ac:dyDescent="0.25">
      <c r="A122" t="str">
        <f>'Local multi year dist'!S122</f>
        <v>Staunton City</v>
      </c>
      <c r="B122" s="2">
        <f>IFERROR(VLOOKUP(A122,'Approved individual amount data'!$A$1:$S$135,2,FALSE),"")</f>
        <v>0</v>
      </c>
      <c r="C122" s="2">
        <f>IFERROR(VLOOKUP(A122,'Approved individual amount data'!$A$1:$S$135,3,FALSE),"")</f>
        <v>0</v>
      </c>
      <c r="D122" s="2">
        <f>IFERROR(VLOOKUP(A122,'Approved individual amount data'!$A$1:$S$135,4,FALSE),"")</f>
        <v>0</v>
      </c>
      <c r="E122" s="2">
        <f>IFERROR(VLOOKUP(A122,'Approved individual amount data'!$A$1:$S$135,5,FALSE),"")</f>
        <v>0</v>
      </c>
      <c r="F122" s="2">
        <f>IFERROR(VLOOKUP(A122,'Approved individual amount data'!$A$1:$S$135,6,FALSE),"")</f>
        <v>0</v>
      </c>
      <c r="G122" s="2">
        <f>IFERROR(VLOOKUP(A122,'Approved individual amount data'!$A$1:$S$135,7,FALSE),"")</f>
        <v>0</v>
      </c>
      <c r="H122" s="2">
        <f>IFERROR(VLOOKUP(A122,'Approved individual amount data'!$A$1:$S$135,8,FALSE),"")</f>
        <v>0</v>
      </c>
      <c r="I122" s="2">
        <f>IFERROR(VLOOKUP(A122,'Approved individual amount data'!$A$1:$S$135,9,FALSE),"")</f>
        <v>0</v>
      </c>
      <c r="J122" s="2">
        <f>IFERROR(VLOOKUP(A122,'Approved individual amount data'!$A$1:$S$135,10,FALSE),"")</f>
        <v>0</v>
      </c>
      <c r="K122" s="2">
        <f>IFERROR(VLOOKUP(A122,'Approved individual amount data'!$A$1:$S$135,11,FALSE),"")</f>
        <v>0</v>
      </c>
      <c r="L122" s="2">
        <f>IFERROR(VLOOKUP(A122,'Approved individual amount data'!$A$1:$S$135,12,FALSE),"")</f>
        <v>0</v>
      </c>
      <c r="M122" s="2">
        <f>IFERROR(VLOOKUP(A122,'Approved individual amount data'!$A$1:$S$135,13,FALSE),"")</f>
        <v>0</v>
      </c>
      <c r="N122" s="2">
        <f>IFERROR(VLOOKUP(A122,'Approved individual amount data'!$A$1:$S$135,14,FALSE),"")</f>
        <v>0</v>
      </c>
      <c r="O122" s="2">
        <f>IFERROR(VLOOKUP(A122,'Approved individual amount data'!$A$1:$S$135,15,FALSE),"")</f>
        <v>0</v>
      </c>
      <c r="P122" s="2">
        <f>IFERROR(VLOOKUP(A122,'Approved individual amount data'!$A$1:$S$135,16,FALSE),"")</f>
        <v>0</v>
      </c>
      <c r="Q122" s="2">
        <f>IFERROR(VLOOKUP(A122,'Approved individual amount data'!$A$1:$S$135,17,FALSE),"")</f>
        <v>0</v>
      </c>
      <c r="R122" s="2">
        <f>IFERROR(VLOOKUP(A122,'Approved individual amount data'!$A$1:$S$135,18,FALSE),"")</f>
        <v>0</v>
      </c>
      <c r="S122" s="2">
        <f>IFERROR(VLOOKUP(A122,'Approved individual amount data'!$A$1:$S$135,19,FALSE),"")</f>
        <v>0</v>
      </c>
    </row>
    <row r="123" spans="1:19" x14ac:dyDescent="0.25">
      <c r="A123" t="str">
        <f>'Local multi year dist'!S123</f>
        <v>Suffolk City</v>
      </c>
      <c r="B123" s="2">
        <f>IFERROR(VLOOKUP(A123,'Approved individual amount data'!$A$1:$S$135,2,FALSE),"")</f>
        <v>0</v>
      </c>
      <c r="C123" s="2">
        <f>IFERROR(VLOOKUP(A123,'Approved individual amount data'!$A$1:$S$135,3,FALSE),"")</f>
        <v>0</v>
      </c>
      <c r="D123" s="2">
        <f>IFERROR(VLOOKUP(A123,'Approved individual amount data'!$A$1:$S$135,4,FALSE),"")</f>
        <v>0</v>
      </c>
      <c r="E123" s="2">
        <f>IFERROR(VLOOKUP(A123,'Approved individual amount data'!$A$1:$S$135,5,FALSE),"")</f>
        <v>0</v>
      </c>
      <c r="F123" s="2">
        <f>IFERROR(VLOOKUP(A123,'Approved individual amount data'!$A$1:$S$135,6,FALSE),"")</f>
        <v>0</v>
      </c>
      <c r="G123" s="2">
        <f>IFERROR(VLOOKUP(A123,'Approved individual amount data'!$A$1:$S$135,7,FALSE),"")</f>
        <v>0</v>
      </c>
      <c r="H123" s="2">
        <f>IFERROR(VLOOKUP(A123,'Approved individual amount data'!$A$1:$S$135,8,FALSE),"")</f>
        <v>0</v>
      </c>
      <c r="I123" s="2">
        <f>IFERROR(VLOOKUP(A123,'Approved individual amount data'!$A$1:$S$135,9,FALSE),"")</f>
        <v>0</v>
      </c>
      <c r="J123" s="2">
        <f>IFERROR(VLOOKUP(A123,'Approved individual amount data'!$A$1:$S$135,10,FALSE),"")</f>
        <v>0</v>
      </c>
      <c r="K123" s="2">
        <f>IFERROR(VLOOKUP(A123,'Approved individual amount data'!$A$1:$S$135,11,FALSE),"")</f>
        <v>0</v>
      </c>
      <c r="L123" s="2">
        <f>IFERROR(VLOOKUP(A123,'Approved individual amount data'!$A$1:$S$135,12,FALSE),"")</f>
        <v>0</v>
      </c>
      <c r="M123" s="2">
        <f>IFERROR(VLOOKUP(A123,'Approved individual amount data'!$A$1:$S$135,13,FALSE),"")</f>
        <v>0</v>
      </c>
      <c r="N123" s="2">
        <f>IFERROR(VLOOKUP(A123,'Approved individual amount data'!$A$1:$S$135,14,FALSE),"")</f>
        <v>0</v>
      </c>
      <c r="O123" s="2">
        <f>IFERROR(VLOOKUP(A123,'Approved individual amount data'!$A$1:$S$135,15,FALSE),"")</f>
        <v>0</v>
      </c>
      <c r="P123" s="2">
        <f>IFERROR(VLOOKUP(A123,'Approved individual amount data'!$A$1:$S$135,16,FALSE),"")</f>
        <v>0</v>
      </c>
      <c r="Q123" s="2">
        <f>IFERROR(VLOOKUP(A123,'Approved individual amount data'!$A$1:$S$135,17,FALSE),"")</f>
        <v>0</v>
      </c>
      <c r="R123" s="2">
        <f>IFERROR(VLOOKUP(A123,'Approved individual amount data'!$A$1:$S$135,18,FALSE),"")</f>
        <v>0</v>
      </c>
      <c r="S123" s="2">
        <f>IFERROR(VLOOKUP(A123,'Approved individual amount data'!$A$1:$S$135,19,FALSE),"")</f>
        <v>0</v>
      </c>
    </row>
    <row r="124" spans="1:19" x14ac:dyDescent="0.25">
      <c r="A124" t="str">
        <f>'Local multi year dist'!S124</f>
        <v>Surry County</v>
      </c>
      <c r="B124" s="2">
        <f>IFERROR(VLOOKUP(A124,'Approved individual amount data'!$A$1:$S$135,2,FALSE),"")</f>
        <v>0</v>
      </c>
      <c r="C124" s="2">
        <f>IFERROR(VLOOKUP(A124,'Approved individual amount data'!$A$1:$S$135,3,FALSE),"")</f>
        <v>0</v>
      </c>
      <c r="D124" s="2">
        <f>IFERROR(VLOOKUP(A124,'Approved individual amount data'!$A$1:$S$135,4,FALSE),"")</f>
        <v>0</v>
      </c>
      <c r="E124" s="2">
        <f>IFERROR(VLOOKUP(A124,'Approved individual amount data'!$A$1:$S$135,5,FALSE),"")</f>
        <v>0</v>
      </c>
      <c r="F124" s="2">
        <f>IFERROR(VLOOKUP(A124,'Approved individual amount data'!$A$1:$S$135,6,FALSE),"")</f>
        <v>0</v>
      </c>
      <c r="G124" s="2">
        <f>IFERROR(VLOOKUP(A124,'Approved individual amount data'!$A$1:$S$135,7,FALSE),"")</f>
        <v>0</v>
      </c>
      <c r="H124" s="2">
        <f>IFERROR(VLOOKUP(A124,'Approved individual amount data'!$A$1:$S$135,8,FALSE),"")</f>
        <v>0</v>
      </c>
      <c r="I124" s="2">
        <f>IFERROR(VLOOKUP(A124,'Approved individual amount data'!$A$1:$S$135,9,FALSE),"")</f>
        <v>0</v>
      </c>
      <c r="J124" s="2">
        <f>IFERROR(VLOOKUP(A124,'Approved individual amount data'!$A$1:$S$135,10,FALSE),"")</f>
        <v>0</v>
      </c>
      <c r="K124" s="2">
        <f>IFERROR(VLOOKUP(A124,'Approved individual amount data'!$A$1:$S$135,11,FALSE),"")</f>
        <v>0</v>
      </c>
      <c r="L124" s="2">
        <f>IFERROR(VLOOKUP(A124,'Approved individual amount data'!$A$1:$S$135,12,FALSE),"")</f>
        <v>0</v>
      </c>
      <c r="M124" s="2">
        <f>IFERROR(VLOOKUP(A124,'Approved individual amount data'!$A$1:$S$135,13,FALSE),"")</f>
        <v>0</v>
      </c>
      <c r="N124" s="2">
        <f>IFERROR(VLOOKUP(A124,'Approved individual amount data'!$A$1:$S$135,14,FALSE),"")</f>
        <v>0</v>
      </c>
      <c r="O124" s="2">
        <f>IFERROR(VLOOKUP(A124,'Approved individual amount data'!$A$1:$S$135,15,FALSE),"")</f>
        <v>0</v>
      </c>
      <c r="P124" s="2">
        <f>IFERROR(VLOOKUP(A124,'Approved individual amount data'!$A$1:$S$135,16,FALSE),"")</f>
        <v>0</v>
      </c>
      <c r="Q124" s="2">
        <f>IFERROR(VLOOKUP(A124,'Approved individual amount data'!$A$1:$S$135,17,FALSE),"")</f>
        <v>0</v>
      </c>
      <c r="R124" s="2">
        <f>IFERROR(VLOOKUP(A124,'Approved individual amount data'!$A$1:$S$135,18,FALSE),"")</f>
        <v>0</v>
      </c>
      <c r="S124" s="2">
        <f>IFERROR(VLOOKUP(A124,'Approved individual amount data'!$A$1:$S$135,19,FALSE),"")</f>
        <v>0</v>
      </c>
    </row>
    <row r="125" spans="1:19" x14ac:dyDescent="0.25">
      <c r="A125" t="str">
        <f>'Local multi year dist'!S125</f>
        <v>Sussex County</v>
      </c>
      <c r="B125" s="2">
        <f>IFERROR(VLOOKUP(A125,'Approved individual amount data'!$A$1:$S$135,2,FALSE),"")</f>
        <v>0</v>
      </c>
      <c r="C125" s="2">
        <f>IFERROR(VLOOKUP(A125,'Approved individual amount data'!$A$1:$S$135,3,FALSE),"")</f>
        <v>0</v>
      </c>
      <c r="D125" s="2">
        <f>IFERROR(VLOOKUP(A125,'Approved individual amount data'!$A$1:$S$135,4,FALSE),"")</f>
        <v>0</v>
      </c>
      <c r="E125" s="2">
        <f>IFERROR(VLOOKUP(A125,'Approved individual amount data'!$A$1:$S$135,5,FALSE),"")</f>
        <v>0</v>
      </c>
      <c r="F125" s="2">
        <f>IFERROR(VLOOKUP(A125,'Approved individual amount data'!$A$1:$S$135,6,FALSE),"")</f>
        <v>0</v>
      </c>
      <c r="G125" s="2">
        <f>IFERROR(VLOOKUP(A125,'Approved individual amount data'!$A$1:$S$135,7,FALSE),"")</f>
        <v>0</v>
      </c>
      <c r="H125" s="2">
        <f>IFERROR(VLOOKUP(A125,'Approved individual amount data'!$A$1:$S$135,8,FALSE),"")</f>
        <v>0</v>
      </c>
      <c r="I125" s="2">
        <f>IFERROR(VLOOKUP(A125,'Approved individual amount data'!$A$1:$S$135,9,FALSE),"")</f>
        <v>0</v>
      </c>
      <c r="J125" s="2">
        <f>IFERROR(VLOOKUP(A125,'Approved individual amount data'!$A$1:$S$135,10,FALSE),"")</f>
        <v>0</v>
      </c>
      <c r="K125" s="2">
        <f>IFERROR(VLOOKUP(A125,'Approved individual amount data'!$A$1:$S$135,11,FALSE),"")</f>
        <v>0</v>
      </c>
      <c r="L125" s="2">
        <f>IFERROR(VLOOKUP(A125,'Approved individual amount data'!$A$1:$S$135,12,FALSE),"")</f>
        <v>0</v>
      </c>
      <c r="M125" s="2">
        <f>IFERROR(VLOOKUP(A125,'Approved individual amount data'!$A$1:$S$135,13,FALSE),"")</f>
        <v>0</v>
      </c>
      <c r="N125" s="2">
        <f>IFERROR(VLOOKUP(A125,'Approved individual amount data'!$A$1:$S$135,14,FALSE),"")</f>
        <v>0</v>
      </c>
      <c r="O125" s="2">
        <f>IFERROR(VLOOKUP(A125,'Approved individual amount data'!$A$1:$S$135,15,FALSE),"")</f>
        <v>0</v>
      </c>
      <c r="P125" s="2">
        <f>IFERROR(VLOOKUP(A125,'Approved individual amount data'!$A$1:$S$135,16,FALSE),"")</f>
        <v>0</v>
      </c>
      <c r="Q125" s="2">
        <f>IFERROR(VLOOKUP(A125,'Approved individual amount data'!$A$1:$S$135,17,FALSE),"")</f>
        <v>0</v>
      </c>
      <c r="R125" s="2">
        <f>IFERROR(VLOOKUP(A125,'Approved individual amount data'!$A$1:$S$135,18,FALSE),"")</f>
        <v>0</v>
      </c>
      <c r="S125" s="2">
        <f>IFERROR(VLOOKUP(A125,'Approved individual amount data'!$A$1:$S$135,19,FALSE),"")</f>
        <v>0</v>
      </c>
    </row>
    <row r="126" spans="1:19" x14ac:dyDescent="0.25">
      <c r="A126" t="str">
        <f>'Local multi year dist'!S126</f>
        <v>Tazewell County</v>
      </c>
      <c r="B126" s="2">
        <f>IFERROR(VLOOKUP(A126,'Approved individual amount data'!$A$1:$S$135,2,FALSE),"")</f>
        <v>0</v>
      </c>
      <c r="C126" s="2">
        <f>IFERROR(VLOOKUP(A126,'Approved individual amount data'!$A$1:$S$135,3,FALSE),"")</f>
        <v>0</v>
      </c>
      <c r="D126" s="2">
        <f>IFERROR(VLOOKUP(A126,'Approved individual amount data'!$A$1:$S$135,4,FALSE),"")</f>
        <v>0</v>
      </c>
      <c r="E126" s="2">
        <f>IFERROR(VLOOKUP(A126,'Approved individual amount data'!$A$1:$S$135,5,FALSE),"")</f>
        <v>75000</v>
      </c>
      <c r="F126" s="2">
        <f>IFERROR(VLOOKUP(A126,'Approved individual amount data'!$A$1:$S$135,6,FALSE),"")</f>
        <v>0</v>
      </c>
      <c r="G126" s="2">
        <f>IFERROR(VLOOKUP(A126,'Approved individual amount data'!$A$1:$S$135,7,FALSE),"")</f>
        <v>0</v>
      </c>
      <c r="H126" s="2">
        <f>IFERROR(VLOOKUP(A126,'Approved individual amount data'!$A$1:$S$135,8,FALSE),"")</f>
        <v>0</v>
      </c>
      <c r="I126" s="2">
        <f>IFERROR(VLOOKUP(A126,'Approved individual amount data'!$A$1:$S$135,9,FALSE),"")</f>
        <v>0</v>
      </c>
      <c r="J126" s="2">
        <f>IFERROR(VLOOKUP(A126,'Approved individual amount data'!$A$1:$S$135,10,FALSE),"")</f>
        <v>0</v>
      </c>
      <c r="K126" s="2">
        <f>IFERROR(VLOOKUP(A126,'Approved individual amount data'!$A$1:$S$135,11,FALSE),"")</f>
        <v>0</v>
      </c>
      <c r="L126" s="2">
        <f>IFERROR(VLOOKUP(A126,'Approved individual amount data'!$A$1:$S$135,12,FALSE),"")</f>
        <v>0</v>
      </c>
      <c r="M126" s="2">
        <f>IFERROR(VLOOKUP(A126,'Approved individual amount data'!$A$1:$S$135,13,FALSE),"")</f>
        <v>0</v>
      </c>
      <c r="N126" s="2">
        <f>IFERROR(VLOOKUP(A126,'Approved individual amount data'!$A$1:$S$135,14,FALSE),"")</f>
        <v>0</v>
      </c>
      <c r="O126" s="2">
        <f>IFERROR(VLOOKUP(A126,'Approved individual amount data'!$A$1:$S$135,15,FALSE),"")</f>
        <v>0</v>
      </c>
      <c r="P126" s="2">
        <f>IFERROR(VLOOKUP(A126,'Approved individual amount data'!$A$1:$S$135,16,FALSE),"")</f>
        <v>0</v>
      </c>
      <c r="Q126" s="2">
        <f>IFERROR(VLOOKUP(A126,'Approved individual amount data'!$A$1:$S$135,17,FALSE),"")</f>
        <v>0</v>
      </c>
      <c r="R126" s="2">
        <f>IFERROR(VLOOKUP(A126,'Approved individual amount data'!$A$1:$S$135,18,FALSE),"")</f>
        <v>0</v>
      </c>
      <c r="S126" s="2">
        <f>IFERROR(VLOOKUP(A126,'Approved individual amount data'!$A$1:$S$135,19,FALSE),"")</f>
        <v>0</v>
      </c>
    </row>
    <row r="127" spans="1:19" x14ac:dyDescent="0.25">
      <c r="A127" t="str">
        <f>'Local multi year dist'!S127</f>
        <v>Virginia Beach City</v>
      </c>
      <c r="B127" s="2">
        <f>IFERROR(VLOOKUP(A127,'Approved individual amount data'!$A$1:$S$135,2,FALSE),"")</f>
        <v>0</v>
      </c>
      <c r="C127" s="2">
        <f>IFERROR(VLOOKUP(A127,'Approved individual amount data'!$A$1:$S$135,3,FALSE),"")</f>
        <v>0</v>
      </c>
      <c r="D127" s="2">
        <f>IFERROR(VLOOKUP(A127,'Approved individual amount data'!$A$1:$S$135,4,FALSE),"")</f>
        <v>0</v>
      </c>
      <c r="E127" s="2">
        <f>IFERROR(VLOOKUP(A127,'Approved individual amount data'!$A$1:$S$135,5,FALSE),"")</f>
        <v>0</v>
      </c>
      <c r="F127" s="2">
        <f>IFERROR(VLOOKUP(A127,'Approved individual amount data'!$A$1:$S$135,6,FALSE),"")</f>
        <v>0</v>
      </c>
      <c r="G127" s="2">
        <f>IFERROR(VLOOKUP(A127,'Approved individual amount data'!$A$1:$S$135,7,FALSE),"")</f>
        <v>0</v>
      </c>
      <c r="H127" s="2">
        <f>IFERROR(VLOOKUP(A127,'Approved individual amount data'!$A$1:$S$135,8,FALSE),"")</f>
        <v>0</v>
      </c>
      <c r="I127" s="2">
        <f>IFERROR(VLOOKUP(A127,'Approved individual amount data'!$A$1:$S$135,9,FALSE),"")</f>
        <v>0</v>
      </c>
      <c r="J127" s="2">
        <f>IFERROR(VLOOKUP(A127,'Approved individual amount data'!$A$1:$S$135,10,FALSE),"")</f>
        <v>0</v>
      </c>
      <c r="K127" s="2">
        <f>IFERROR(VLOOKUP(A127,'Approved individual amount data'!$A$1:$S$135,11,FALSE),"")</f>
        <v>0</v>
      </c>
      <c r="L127" s="2">
        <f>IFERROR(VLOOKUP(A127,'Approved individual amount data'!$A$1:$S$135,12,FALSE),"")</f>
        <v>0</v>
      </c>
      <c r="M127" s="2">
        <f>IFERROR(VLOOKUP(A127,'Approved individual amount data'!$A$1:$S$135,13,FALSE),"")</f>
        <v>0</v>
      </c>
      <c r="N127" s="2">
        <f>IFERROR(VLOOKUP(A127,'Approved individual amount data'!$A$1:$S$135,14,FALSE),"")</f>
        <v>0</v>
      </c>
      <c r="O127" s="2">
        <f>IFERROR(VLOOKUP(A127,'Approved individual amount data'!$A$1:$S$135,15,FALSE),"")</f>
        <v>0</v>
      </c>
      <c r="P127" s="2">
        <f>IFERROR(VLOOKUP(A127,'Approved individual amount data'!$A$1:$S$135,16,FALSE),"")</f>
        <v>0</v>
      </c>
      <c r="Q127" s="2">
        <f>IFERROR(VLOOKUP(A127,'Approved individual amount data'!$A$1:$S$135,17,FALSE),"")</f>
        <v>0</v>
      </c>
      <c r="R127" s="2">
        <f>IFERROR(VLOOKUP(A127,'Approved individual amount data'!$A$1:$S$135,18,FALSE),"")</f>
        <v>0</v>
      </c>
      <c r="S127" s="2">
        <f>IFERROR(VLOOKUP(A127,'Approved individual amount data'!$A$1:$S$135,19,FALSE),"")</f>
        <v>0</v>
      </c>
    </row>
    <row r="128" spans="1:19" x14ac:dyDescent="0.25">
      <c r="A128" t="str">
        <f>'Local multi year dist'!S128</f>
        <v>Warren County</v>
      </c>
      <c r="B128" s="2">
        <f>IFERROR(VLOOKUP(A128,'Approved individual amount data'!$A$1:$S$135,2,FALSE),"")</f>
        <v>0</v>
      </c>
      <c r="C128" s="2">
        <f>IFERROR(VLOOKUP(A128,'Approved individual amount data'!$A$1:$S$135,3,FALSE),"")</f>
        <v>0</v>
      </c>
      <c r="D128" s="2">
        <f>IFERROR(VLOOKUP(A128,'Approved individual amount data'!$A$1:$S$135,4,FALSE),"")</f>
        <v>0</v>
      </c>
      <c r="E128" s="2">
        <f>IFERROR(VLOOKUP(A128,'Approved individual amount data'!$A$1:$S$135,5,FALSE),"")</f>
        <v>0</v>
      </c>
      <c r="F128" s="2">
        <f>IFERROR(VLOOKUP(A128,'Approved individual amount data'!$A$1:$S$135,6,FALSE),"")</f>
        <v>0</v>
      </c>
      <c r="G128" s="2">
        <f>IFERROR(VLOOKUP(A128,'Approved individual amount data'!$A$1:$S$135,7,FALSE),"")</f>
        <v>0</v>
      </c>
      <c r="H128" s="2">
        <f>IFERROR(VLOOKUP(A128,'Approved individual amount data'!$A$1:$S$135,8,FALSE),"")</f>
        <v>0</v>
      </c>
      <c r="I128" s="2">
        <f>IFERROR(VLOOKUP(A128,'Approved individual amount data'!$A$1:$S$135,9,FALSE),"")</f>
        <v>0</v>
      </c>
      <c r="J128" s="2">
        <f>IFERROR(VLOOKUP(A128,'Approved individual amount data'!$A$1:$S$135,10,FALSE),"")</f>
        <v>0</v>
      </c>
      <c r="K128" s="2">
        <f>IFERROR(VLOOKUP(A128,'Approved individual amount data'!$A$1:$S$135,11,FALSE),"")</f>
        <v>0</v>
      </c>
      <c r="L128" s="2">
        <f>IFERROR(VLOOKUP(A128,'Approved individual amount data'!$A$1:$S$135,12,FALSE),"")</f>
        <v>0</v>
      </c>
      <c r="M128" s="2">
        <f>IFERROR(VLOOKUP(A128,'Approved individual amount data'!$A$1:$S$135,13,FALSE),"")</f>
        <v>0</v>
      </c>
      <c r="N128" s="2">
        <f>IFERROR(VLOOKUP(A128,'Approved individual amount data'!$A$1:$S$135,14,FALSE),"")</f>
        <v>0</v>
      </c>
      <c r="O128" s="2">
        <f>IFERROR(VLOOKUP(A128,'Approved individual amount data'!$A$1:$S$135,15,FALSE),"")</f>
        <v>0</v>
      </c>
      <c r="P128" s="2">
        <f>IFERROR(VLOOKUP(A128,'Approved individual amount data'!$A$1:$S$135,16,FALSE),"")</f>
        <v>0</v>
      </c>
      <c r="Q128" s="2">
        <f>IFERROR(VLOOKUP(A128,'Approved individual amount data'!$A$1:$S$135,17,FALSE),"")</f>
        <v>0</v>
      </c>
      <c r="R128" s="2">
        <f>IFERROR(VLOOKUP(A128,'Approved individual amount data'!$A$1:$S$135,18,FALSE),"")</f>
        <v>0</v>
      </c>
      <c r="S128" s="2">
        <f>IFERROR(VLOOKUP(A128,'Approved individual amount data'!$A$1:$S$135,19,FALSE),"")</f>
        <v>0</v>
      </c>
    </row>
    <row r="129" spans="1:19" x14ac:dyDescent="0.25">
      <c r="A129" t="str">
        <f>'Local multi year dist'!S129</f>
        <v>Washington County</v>
      </c>
      <c r="B129" s="2">
        <f>IFERROR(VLOOKUP(A129,'Approved individual amount data'!$A$1:$S$135,2,FALSE),"")</f>
        <v>0</v>
      </c>
      <c r="C129" s="2">
        <f>IFERROR(VLOOKUP(A129,'Approved individual amount data'!$A$1:$S$135,3,FALSE),"")</f>
        <v>92776</v>
      </c>
      <c r="D129" s="2">
        <f>IFERROR(VLOOKUP(A129,'Approved individual amount data'!$A$1:$S$135,4,FALSE),"")</f>
        <v>0</v>
      </c>
      <c r="E129" s="2">
        <f>IFERROR(VLOOKUP(A129,'Approved individual amount data'!$A$1:$S$135,5,FALSE),"")</f>
        <v>0</v>
      </c>
      <c r="F129" s="2">
        <f>IFERROR(VLOOKUP(A129,'Approved individual amount data'!$A$1:$S$135,6,FALSE),"")</f>
        <v>0</v>
      </c>
      <c r="G129" s="2">
        <f>IFERROR(VLOOKUP(A129,'Approved individual amount data'!$A$1:$S$135,7,FALSE),"")</f>
        <v>0</v>
      </c>
      <c r="H129" s="2">
        <f>IFERROR(VLOOKUP(A129,'Approved individual amount data'!$A$1:$S$135,8,FALSE),"")</f>
        <v>0</v>
      </c>
      <c r="I129" s="2">
        <f>IFERROR(VLOOKUP(A129,'Approved individual amount data'!$A$1:$S$135,9,FALSE),"")</f>
        <v>0</v>
      </c>
      <c r="J129" s="2">
        <f>IFERROR(VLOOKUP(A129,'Approved individual amount data'!$A$1:$S$135,10,FALSE),"")</f>
        <v>0</v>
      </c>
      <c r="K129" s="2">
        <f>IFERROR(VLOOKUP(A129,'Approved individual amount data'!$A$1:$S$135,11,FALSE),"")</f>
        <v>0</v>
      </c>
      <c r="L129" s="2">
        <f>IFERROR(VLOOKUP(A129,'Approved individual amount data'!$A$1:$S$135,12,FALSE),"")</f>
        <v>0</v>
      </c>
      <c r="M129" s="2">
        <f>IFERROR(VLOOKUP(A129,'Approved individual amount data'!$A$1:$S$135,13,FALSE),"")</f>
        <v>0</v>
      </c>
      <c r="N129" s="2">
        <f>IFERROR(VLOOKUP(A129,'Approved individual amount data'!$A$1:$S$135,14,FALSE),"")</f>
        <v>0</v>
      </c>
      <c r="O129" s="2">
        <f>IFERROR(VLOOKUP(A129,'Approved individual amount data'!$A$1:$S$135,15,FALSE),"")</f>
        <v>0</v>
      </c>
      <c r="P129" s="2">
        <f>IFERROR(VLOOKUP(A129,'Approved individual amount data'!$A$1:$S$135,16,FALSE),"")</f>
        <v>0</v>
      </c>
      <c r="Q129" s="2">
        <f>IFERROR(VLOOKUP(A129,'Approved individual amount data'!$A$1:$S$135,17,FALSE),"")</f>
        <v>0</v>
      </c>
      <c r="R129" s="2">
        <f>IFERROR(VLOOKUP(A129,'Approved individual amount data'!$A$1:$S$135,18,FALSE),"")</f>
        <v>0</v>
      </c>
      <c r="S129" s="2">
        <f>IFERROR(VLOOKUP(A129,'Approved individual amount data'!$A$1:$S$135,19,FALSE),"")</f>
        <v>0</v>
      </c>
    </row>
    <row r="130" spans="1:19" x14ac:dyDescent="0.25">
      <c r="A130" t="str">
        <f>'Local multi year dist'!S130</f>
        <v>Waynesboro City</v>
      </c>
      <c r="B130" s="2">
        <f>IFERROR(VLOOKUP(A130,'Approved individual amount data'!$A$1:$S$135,2,FALSE),"")</f>
        <v>0</v>
      </c>
      <c r="C130" s="2">
        <f>IFERROR(VLOOKUP(A130,'Approved individual amount data'!$A$1:$S$135,3,FALSE),"")</f>
        <v>0</v>
      </c>
      <c r="D130" s="2">
        <f>IFERROR(VLOOKUP(A130,'Approved individual amount data'!$A$1:$S$135,4,FALSE),"")</f>
        <v>0</v>
      </c>
      <c r="E130" s="2">
        <f>IFERROR(VLOOKUP(A130,'Approved individual amount data'!$A$1:$S$135,5,FALSE),"")</f>
        <v>0</v>
      </c>
      <c r="F130" s="2">
        <f>IFERROR(VLOOKUP(A130,'Approved individual amount data'!$A$1:$S$135,6,FALSE),"")</f>
        <v>0</v>
      </c>
      <c r="G130" s="2">
        <f>IFERROR(VLOOKUP(A130,'Approved individual amount data'!$A$1:$S$135,7,FALSE),"")</f>
        <v>0</v>
      </c>
      <c r="H130" s="2">
        <f>IFERROR(VLOOKUP(A130,'Approved individual amount data'!$A$1:$S$135,8,FALSE),"")</f>
        <v>0</v>
      </c>
      <c r="I130" s="2">
        <f>IFERROR(VLOOKUP(A130,'Approved individual amount data'!$A$1:$S$135,9,FALSE),"")</f>
        <v>0</v>
      </c>
      <c r="J130" s="2">
        <f>IFERROR(VLOOKUP(A130,'Approved individual amount data'!$A$1:$S$135,10,FALSE),"")</f>
        <v>0</v>
      </c>
      <c r="K130" s="2">
        <f>IFERROR(VLOOKUP(A130,'Approved individual amount data'!$A$1:$S$135,11,FALSE),"")</f>
        <v>0</v>
      </c>
      <c r="L130" s="2">
        <f>IFERROR(VLOOKUP(A130,'Approved individual amount data'!$A$1:$S$135,12,FALSE),"")</f>
        <v>0</v>
      </c>
      <c r="M130" s="2">
        <f>IFERROR(VLOOKUP(A130,'Approved individual amount data'!$A$1:$S$135,13,FALSE),"")</f>
        <v>0</v>
      </c>
      <c r="N130" s="2">
        <f>IFERROR(VLOOKUP(A130,'Approved individual amount data'!$A$1:$S$135,14,FALSE),"")</f>
        <v>0</v>
      </c>
      <c r="O130" s="2">
        <f>IFERROR(VLOOKUP(A130,'Approved individual amount data'!$A$1:$S$135,15,FALSE),"")</f>
        <v>0</v>
      </c>
      <c r="P130" s="2">
        <f>IFERROR(VLOOKUP(A130,'Approved individual amount data'!$A$1:$S$135,16,FALSE),"")</f>
        <v>0</v>
      </c>
      <c r="Q130" s="2">
        <f>IFERROR(VLOOKUP(A130,'Approved individual amount data'!$A$1:$S$135,17,FALSE),"")</f>
        <v>0</v>
      </c>
      <c r="R130" s="2">
        <f>IFERROR(VLOOKUP(A130,'Approved individual amount data'!$A$1:$S$135,18,FALSE),"")</f>
        <v>0</v>
      </c>
      <c r="S130" s="2">
        <f>IFERROR(VLOOKUP(A130,'Approved individual amount data'!$A$1:$S$135,19,FALSE),"")</f>
        <v>0</v>
      </c>
    </row>
    <row r="131" spans="1:19" x14ac:dyDescent="0.25">
      <c r="A131" t="str">
        <f>'Local multi year dist'!S131</f>
        <v>Westmoreland County</v>
      </c>
      <c r="B131" s="2">
        <f>IFERROR(VLOOKUP(A131,'Approved individual amount data'!$A$1:$S$135,2,FALSE),"")</f>
        <v>0</v>
      </c>
      <c r="C131" s="2">
        <f>IFERROR(VLOOKUP(A131,'Approved individual amount data'!$A$1:$S$135,3,FALSE),"")</f>
        <v>0</v>
      </c>
      <c r="D131" s="2">
        <f>IFERROR(VLOOKUP(A131,'Approved individual amount data'!$A$1:$S$135,4,FALSE),"")</f>
        <v>0</v>
      </c>
      <c r="E131" s="2">
        <f>IFERROR(VLOOKUP(A131,'Approved individual amount data'!$A$1:$S$135,5,FALSE),"")</f>
        <v>0</v>
      </c>
      <c r="F131" s="2">
        <f>IFERROR(VLOOKUP(A131,'Approved individual amount data'!$A$1:$S$135,6,FALSE),"")</f>
        <v>0</v>
      </c>
      <c r="G131" s="2">
        <f>IFERROR(VLOOKUP(A131,'Approved individual amount data'!$A$1:$S$135,7,FALSE),"")</f>
        <v>0</v>
      </c>
      <c r="H131" s="2">
        <f>IFERROR(VLOOKUP(A131,'Approved individual amount data'!$A$1:$S$135,8,FALSE),"")</f>
        <v>0</v>
      </c>
      <c r="I131" s="2">
        <f>IFERROR(VLOOKUP(A131,'Approved individual amount data'!$A$1:$S$135,9,FALSE),"")</f>
        <v>0</v>
      </c>
      <c r="J131" s="2">
        <f>IFERROR(VLOOKUP(A131,'Approved individual amount data'!$A$1:$S$135,10,FALSE),"")</f>
        <v>0</v>
      </c>
      <c r="K131" s="2">
        <f>IFERROR(VLOOKUP(A131,'Approved individual amount data'!$A$1:$S$135,11,FALSE),"")</f>
        <v>0</v>
      </c>
      <c r="L131" s="2">
        <f>IFERROR(VLOOKUP(A131,'Approved individual amount data'!$A$1:$S$135,12,FALSE),"")</f>
        <v>0</v>
      </c>
      <c r="M131" s="2">
        <f>IFERROR(VLOOKUP(A131,'Approved individual amount data'!$A$1:$S$135,13,FALSE),"")</f>
        <v>0</v>
      </c>
      <c r="N131" s="2">
        <f>IFERROR(VLOOKUP(A131,'Approved individual amount data'!$A$1:$S$135,14,FALSE),"")</f>
        <v>0</v>
      </c>
      <c r="O131" s="2">
        <f>IFERROR(VLOOKUP(A131,'Approved individual amount data'!$A$1:$S$135,15,FALSE),"")</f>
        <v>0</v>
      </c>
      <c r="P131" s="2">
        <f>IFERROR(VLOOKUP(A131,'Approved individual amount data'!$A$1:$S$135,16,FALSE),"")</f>
        <v>0</v>
      </c>
      <c r="Q131" s="2">
        <f>IFERROR(VLOOKUP(A131,'Approved individual amount data'!$A$1:$S$135,17,FALSE),"")</f>
        <v>0</v>
      </c>
      <c r="R131" s="2">
        <f>IFERROR(VLOOKUP(A131,'Approved individual amount data'!$A$1:$S$135,18,FALSE),"")</f>
        <v>0</v>
      </c>
      <c r="S131" s="2">
        <f>IFERROR(VLOOKUP(A131,'Approved individual amount data'!$A$1:$S$135,19,FALSE),"")</f>
        <v>0</v>
      </c>
    </row>
    <row r="132" spans="1:19" x14ac:dyDescent="0.25">
      <c r="A132" t="str">
        <f>'Local multi year dist'!S132</f>
        <v>Williamsburg City</v>
      </c>
      <c r="B132" s="2">
        <f>IFERROR(VLOOKUP(A132,'Approved individual amount data'!$A$1:$S$135,2,FALSE),"")</f>
        <v>0</v>
      </c>
      <c r="C132" s="2">
        <f>IFERROR(VLOOKUP(A132,'Approved individual amount data'!$A$1:$S$135,3,FALSE),"")</f>
        <v>0</v>
      </c>
      <c r="D132" s="2">
        <f>IFERROR(VLOOKUP(A132,'Approved individual amount data'!$A$1:$S$135,4,FALSE),"")</f>
        <v>0</v>
      </c>
      <c r="E132" s="2">
        <f>IFERROR(VLOOKUP(A132,'Approved individual amount data'!$A$1:$S$135,5,FALSE),"")</f>
        <v>10020</v>
      </c>
      <c r="F132" s="2">
        <f>IFERROR(VLOOKUP(A132,'Approved individual amount data'!$A$1:$S$135,6,FALSE),"")</f>
        <v>0</v>
      </c>
      <c r="G132" s="2">
        <f>IFERROR(VLOOKUP(A132,'Approved individual amount data'!$A$1:$S$135,7,FALSE),"")</f>
        <v>0</v>
      </c>
      <c r="H132" s="2">
        <f>IFERROR(VLOOKUP(A132,'Approved individual amount data'!$A$1:$S$135,8,FALSE),"")</f>
        <v>0</v>
      </c>
      <c r="I132" s="2">
        <f>IFERROR(VLOOKUP(A132,'Approved individual amount data'!$A$1:$S$135,9,FALSE),"")</f>
        <v>0</v>
      </c>
      <c r="J132" s="2">
        <f>IFERROR(VLOOKUP(A132,'Approved individual amount data'!$A$1:$S$135,10,FALSE),"")</f>
        <v>0</v>
      </c>
      <c r="K132" s="2">
        <f>IFERROR(VLOOKUP(A132,'Approved individual amount data'!$A$1:$S$135,11,FALSE),"")</f>
        <v>0</v>
      </c>
      <c r="L132" s="2">
        <f>IFERROR(VLOOKUP(A132,'Approved individual amount data'!$A$1:$S$135,12,FALSE),"")</f>
        <v>0</v>
      </c>
      <c r="M132" s="2">
        <f>IFERROR(VLOOKUP(A132,'Approved individual amount data'!$A$1:$S$135,13,FALSE),"")</f>
        <v>0</v>
      </c>
      <c r="N132" s="2">
        <f>IFERROR(VLOOKUP(A132,'Approved individual amount data'!$A$1:$S$135,14,FALSE),"")</f>
        <v>0</v>
      </c>
      <c r="O132" s="2">
        <f>IFERROR(VLOOKUP(A132,'Approved individual amount data'!$A$1:$S$135,15,FALSE),"")</f>
        <v>0</v>
      </c>
      <c r="P132" s="2">
        <f>IFERROR(VLOOKUP(A132,'Approved individual amount data'!$A$1:$S$135,16,FALSE),"")</f>
        <v>0</v>
      </c>
      <c r="Q132" s="2">
        <f>IFERROR(VLOOKUP(A132,'Approved individual amount data'!$A$1:$S$135,17,FALSE),"")</f>
        <v>0</v>
      </c>
      <c r="R132" s="2">
        <f>IFERROR(VLOOKUP(A132,'Approved individual amount data'!$A$1:$S$135,18,FALSE),"")</f>
        <v>0</v>
      </c>
      <c r="S132" s="2">
        <f>IFERROR(VLOOKUP(A132,'Approved individual amount data'!$A$1:$S$135,19,FALSE),"")</f>
        <v>0</v>
      </c>
    </row>
    <row r="133" spans="1:19" x14ac:dyDescent="0.25">
      <c r="A133" t="str">
        <f>'Local multi year dist'!S133</f>
        <v>Winchester City</v>
      </c>
      <c r="B133" s="2">
        <f>IFERROR(VLOOKUP(A133,'Approved individual amount data'!$A$1:$S$135,2,FALSE),"")</f>
        <v>0</v>
      </c>
      <c r="C133" s="2">
        <f>IFERROR(VLOOKUP(A133,'Approved individual amount data'!$A$1:$S$135,3,FALSE),"")</f>
        <v>0</v>
      </c>
      <c r="D133" s="2">
        <f>IFERROR(VLOOKUP(A133,'Approved individual amount data'!$A$1:$S$135,4,FALSE),"")</f>
        <v>0</v>
      </c>
      <c r="E133" s="2">
        <f>IFERROR(VLOOKUP(A133,'Approved individual amount data'!$A$1:$S$135,5,FALSE),"")</f>
        <v>77686</v>
      </c>
      <c r="F133" s="2">
        <f>IFERROR(VLOOKUP(A133,'Approved individual amount data'!$A$1:$S$135,6,FALSE),"")</f>
        <v>0</v>
      </c>
      <c r="G133" s="2">
        <f>IFERROR(VLOOKUP(A133,'Approved individual amount data'!$A$1:$S$135,7,FALSE),"")</f>
        <v>0</v>
      </c>
      <c r="H133" s="2">
        <f>IFERROR(VLOOKUP(A133,'Approved individual amount data'!$A$1:$S$135,8,FALSE),"")</f>
        <v>0</v>
      </c>
      <c r="I133" s="2">
        <f>IFERROR(VLOOKUP(A133,'Approved individual amount data'!$A$1:$S$135,9,FALSE),"")</f>
        <v>0</v>
      </c>
      <c r="J133" s="2">
        <f>IFERROR(VLOOKUP(A133,'Approved individual amount data'!$A$1:$S$135,10,FALSE),"")</f>
        <v>0</v>
      </c>
      <c r="K133" s="2">
        <f>IFERROR(VLOOKUP(A133,'Approved individual amount data'!$A$1:$S$135,11,FALSE),"")</f>
        <v>0</v>
      </c>
      <c r="L133" s="2">
        <f>IFERROR(VLOOKUP(A133,'Approved individual amount data'!$A$1:$S$135,12,FALSE),"")</f>
        <v>0</v>
      </c>
      <c r="M133" s="2">
        <f>IFERROR(VLOOKUP(A133,'Approved individual amount data'!$A$1:$S$135,13,FALSE),"")</f>
        <v>0</v>
      </c>
      <c r="N133" s="2">
        <f>IFERROR(VLOOKUP(A133,'Approved individual amount data'!$A$1:$S$135,14,FALSE),"")</f>
        <v>0</v>
      </c>
      <c r="O133" s="2">
        <f>IFERROR(VLOOKUP(A133,'Approved individual amount data'!$A$1:$S$135,15,FALSE),"")</f>
        <v>0</v>
      </c>
      <c r="P133" s="2">
        <f>IFERROR(VLOOKUP(A133,'Approved individual amount data'!$A$1:$S$135,16,FALSE),"")</f>
        <v>0</v>
      </c>
      <c r="Q133" s="2">
        <f>IFERROR(VLOOKUP(A133,'Approved individual amount data'!$A$1:$S$135,17,FALSE),"")</f>
        <v>0</v>
      </c>
      <c r="R133" s="2">
        <f>IFERROR(VLOOKUP(A133,'Approved individual amount data'!$A$1:$S$135,18,FALSE),"")</f>
        <v>0</v>
      </c>
      <c r="S133" s="2">
        <f>IFERROR(VLOOKUP(A133,'Approved individual amount data'!$A$1:$S$135,19,FALSE),"")</f>
        <v>0</v>
      </c>
    </row>
    <row r="134" spans="1:19" x14ac:dyDescent="0.25">
      <c r="A134" t="str">
        <f>'Local multi year dist'!S134</f>
        <v>Wise County</v>
      </c>
      <c r="B134" s="2">
        <f>IFERROR(VLOOKUP(A134,'Approved individual amount data'!$A$1:$S$135,2,FALSE),"")</f>
        <v>0</v>
      </c>
      <c r="C134" s="2">
        <f>IFERROR(VLOOKUP(A134,'Approved individual amount data'!$A$1:$S$135,3,FALSE),"")</f>
        <v>0</v>
      </c>
      <c r="D134" s="2">
        <f>IFERROR(VLOOKUP(A134,'Approved individual amount data'!$A$1:$S$135,4,FALSE),"")</f>
        <v>42770</v>
      </c>
      <c r="E134" s="2">
        <f>IFERROR(VLOOKUP(A134,'Approved individual amount data'!$A$1:$S$135,5,FALSE),"")</f>
        <v>62814</v>
      </c>
      <c r="F134" s="2">
        <f>IFERROR(VLOOKUP(A134,'Approved individual amount data'!$A$1:$S$135,6,FALSE),"")</f>
        <v>0</v>
      </c>
      <c r="G134" s="2">
        <f>IFERROR(VLOOKUP(A134,'Approved individual amount data'!$A$1:$S$135,7,FALSE),"")</f>
        <v>0</v>
      </c>
      <c r="H134" s="2">
        <f>IFERROR(VLOOKUP(A134,'Approved individual amount data'!$A$1:$S$135,8,FALSE),"")</f>
        <v>0</v>
      </c>
      <c r="I134" s="2">
        <f>IFERROR(VLOOKUP(A134,'Approved individual amount data'!$A$1:$S$135,9,FALSE),"")</f>
        <v>0</v>
      </c>
      <c r="J134" s="2">
        <f>IFERROR(VLOOKUP(A134,'Approved individual amount data'!$A$1:$S$135,10,FALSE),"")</f>
        <v>0</v>
      </c>
      <c r="K134" s="2">
        <f>IFERROR(VLOOKUP(A134,'Approved individual amount data'!$A$1:$S$135,11,FALSE),"")</f>
        <v>0</v>
      </c>
      <c r="L134" s="2">
        <f>IFERROR(VLOOKUP(A134,'Approved individual amount data'!$A$1:$S$135,12,FALSE),"")</f>
        <v>0</v>
      </c>
      <c r="M134" s="2">
        <f>IFERROR(VLOOKUP(A134,'Approved individual amount data'!$A$1:$S$135,13,FALSE),"")</f>
        <v>0</v>
      </c>
      <c r="N134" s="2">
        <f>IFERROR(VLOOKUP(A134,'Approved individual amount data'!$A$1:$S$135,14,FALSE),"")</f>
        <v>0</v>
      </c>
      <c r="O134" s="2">
        <f>IFERROR(VLOOKUP(A134,'Approved individual amount data'!$A$1:$S$135,15,FALSE),"")</f>
        <v>0</v>
      </c>
      <c r="P134" s="2">
        <f>IFERROR(VLOOKUP(A134,'Approved individual amount data'!$A$1:$S$135,16,FALSE),"")</f>
        <v>0</v>
      </c>
      <c r="Q134" s="2">
        <f>IFERROR(VLOOKUP(A134,'Approved individual amount data'!$A$1:$S$135,17,FALSE),"")</f>
        <v>0</v>
      </c>
      <c r="R134" s="2">
        <f>IFERROR(VLOOKUP(A134,'Approved individual amount data'!$A$1:$S$135,18,FALSE),"")</f>
        <v>0</v>
      </c>
      <c r="S134" s="2">
        <f>IFERROR(VLOOKUP(A134,'Approved individual amount data'!$A$1:$S$135,19,FALSE),"")</f>
        <v>0</v>
      </c>
    </row>
    <row r="135" spans="1:19" x14ac:dyDescent="0.25">
      <c r="A135" t="str">
        <f>'Local multi year dist'!S135</f>
        <v>Wythe County</v>
      </c>
      <c r="B135" s="2">
        <f>IFERROR(VLOOKUP(A135,'Approved individual amount data'!$A$1:$S$135,2,FALSE),"")</f>
        <v>0</v>
      </c>
      <c r="C135" s="2">
        <f>IFERROR(VLOOKUP(A135,'Approved individual amount data'!$A$1:$S$135,3,FALSE),"")</f>
        <v>0</v>
      </c>
      <c r="D135" s="2">
        <f>IFERROR(VLOOKUP(A135,'Approved individual amount data'!$A$1:$S$135,4,FALSE),"")</f>
        <v>18458</v>
      </c>
      <c r="E135" s="2">
        <f>IFERROR(VLOOKUP(A135,'Approved individual amount data'!$A$1:$S$135,5,FALSE),"")</f>
        <v>44300</v>
      </c>
      <c r="F135" s="2">
        <f>IFERROR(VLOOKUP(A135,'Approved individual amount data'!$A$1:$S$135,6,FALSE),"")</f>
        <v>0</v>
      </c>
      <c r="G135" s="2">
        <f>IFERROR(VLOOKUP(A135,'Approved individual amount data'!$A$1:$S$135,7,FALSE),"")</f>
        <v>0</v>
      </c>
      <c r="H135" s="2">
        <f>IFERROR(VLOOKUP(A135,'Approved individual amount data'!$A$1:$S$135,8,FALSE),"")</f>
        <v>0</v>
      </c>
      <c r="I135" s="2">
        <f>IFERROR(VLOOKUP(A135,'Approved individual amount data'!$A$1:$S$135,9,FALSE),"")</f>
        <v>0</v>
      </c>
      <c r="J135" s="2">
        <f>IFERROR(VLOOKUP(A135,'Approved individual amount data'!$A$1:$S$135,10,FALSE),"")</f>
        <v>0</v>
      </c>
      <c r="K135" s="2">
        <f>IFERROR(VLOOKUP(A135,'Approved individual amount data'!$A$1:$S$135,11,FALSE),"")</f>
        <v>0</v>
      </c>
      <c r="L135" s="2">
        <f>IFERROR(VLOOKUP(A135,'Approved individual amount data'!$A$1:$S$135,12,FALSE),"")</f>
        <v>0</v>
      </c>
      <c r="M135" s="2">
        <f>IFERROR(VLOOKUP(A135,'Approved individual amount data'!$A$1:$S$135,13,FALSE),"")</f>
        <v>0</v>
      </c>
      <c r="N135" s="2">
        <f>IFERROR(VLOOKUP(A135,'Approved individual amount data'!$A$1:$S$135,14,FALSE),"")</f>
        <v>0</v>
      </c>
      <c r="O135" s="2">
        <f>IFERROR(VLOOKUP(A135,'Approved individual amount data'!$A$1:$S$135,15,FALSE),"")</f>
        <v>0</v>
      </c>
      <c r="P135" s="2">
        <f>IFERROR(VLOOKUP(A135,'Approved individual amount data'!$A$1:$S$135,16,FALSE),"")</f>
        <v>0</v>
      </c>
      <c r="Q135" s="2">
        <f>IFERROR(VLOOKUP(A135,'Approved individual amount data'!$A$1:$S$135,17,FALSE),"")</f>
        <v>0</v>
      </c>
      <c r="R135" s="2">
        <f>IFERROR(VLOOKUP(A135,'Approved individual amount data'!$A$1:$S$135,18,FALSE),"")</f>
        <v>0</v>
      </c>
      <c r="S135" s="2">
        <f>IFERROR(VLOOKUP(A135,'Approved individual amount data'!$A$1:$S$135,19,FALSE),"")</f>
        <v>0</v>
      </c>
    </row>
    <row r="136" spans="1:19" x14ac:dyDescent="0.25">
      <c r="A136" t="str">
        <f>'Local multi year dist'!S136</f>
        <v>York County</v>
      </c>
      <c r="B136" s="2">
        <f>IFERROR(VLOOKUP(A136,'Approved individual amount data'!$A$1:$S$135,2,FALSE),"")</f>
        <v>0</v>
      </c>
      <c r="C136" s="2">
        <f>IFERROR(VLOOKUP(A136,'Approved individual amount data'!$A$1:$S$135,3,FALSE),"")</f>
        <v>0</v>
      </c>
      <c r="D136" s="2">
        <f>IFERROR(VLOOKUP(A136,'Approved individual amount data'!$A$1:$S$135,4,FALSE),"")</f>
        <v>0</v>
      </c>
      <c r="E136" s="2">
        <f>IFERROR(VLOOKUP(A136,'Approved individual amount data'!$A$1:$S$135,5,FALSE),"")</f>
        <v>65363</v>
      </c>
      <c r="F136" s="2">
        <f>IFERROR(VLOOKUP(A136,'Approved individual amount data'!$A$1:$S$135,6,FALSE),"")</f>
        <v>0</v>
      </c>
      <c r="G136" s="2">
        <f>IFERROR(VLOOKUP(A136,'Approved individual amount data'!$A$1:$S$135,7,FALSE),"")</f>
        <v>0</v>
      </c>
      <c r="H136" s="2">
        <f>IFERROR(VLOOKUP(A136,'Approved individual amount data'!$A$1:$S$135,8,FALSE),"")</f>
        <v>0</v>
      </c>
      <c r="I136" s="2">
        <f>IFERROR(VLOOKUP(A136,'Approved individual amount data'!$A$1:$S$135,9,FALSE),"")</f>
        <v>0</v>
      </c>
      <c r="J136" s="2">
        <f>IFERROR(VLOOKUP(A136,'Approved individual amount data'!$A$1:$S$135,10,FALSE),"")</f>
        <v>0</v>
      </c>
      <c r="K136" s="2">
        <f>IFERROR(VLOOKUP(A136,'Approved individual amount data'!$A$1:$S$135,11,FALSE),"")</f>
        <v>0</v>
      </c>
      <c r="L136" s="2">
        <f>IFERROR(VLOOKUP(A136,'Approved individual amount data'!$A$1:$S$135,12,FALSE),"")</f>
        <v>0</v>
      </c>
      <c r="M136" s="2">
        <f>IFERROR(VLOOKUP(A136,'Approved individual amount data'!$A$1:$S$135,13,FALSE),"")</f>
        <v>0</v>
      </c>
      <c r="N136" s="2">
        <f>IFERROR(VLOOKUP(A136,'Approved individual amount data'!$A$1:$S$135,14,FALSE),"")</f>
        <v>0</v>
      </c>
      <c r="O136" s="2">
        <f>IFERROR(VLOOKUP(A136,'Approved individual amount data'!$A$1:$S$135,15,FALSE),"")</f>
        <v>0</v>
      </c>
      <c r="P136" s="2">
        <f>IFERROR(VLOOKUP(A136,'Approved individual amount data'!$A$1:$S$135,16,FALSE),"")</f>
        <v>0</v>
      </c>
      <c r="Q136" s="2">
        <f>IFERROR(VLOOKUP(A136,'Approved individual amount data'!$A$1:$S$135,17,FALSE),"")</f>
        <v>0</v>
      </c>
      <c r="R136" s="2">
        <f>IFERROR(VLOOKUP(A136,'Approved individual amount data'!$A$1:$S$135,18,FALSE),"")</f>
        <v>0</v>
      </c>
      <c r="S136" s="2">
        <f>IFERROR(VLOOKUP(A136,'Approved individual amount data'!$A$1:$S$135,19,FALSE),"")</f>
        <v>0</v>
      </c>
    </row>
  </sheetData>
  <phoneticPr fontId="1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1CBF4-BD4A-423F-B9BF-713118FAE95C}">
  <dimension ref="A1:BQ139"/>
  <sheetViews>
    <sheetView topLeftCell="A34" workbookViewId="0">
      <selection activeCell="E58" sqref="E58"/>
    </sheetView>
  </sheetViews>
  <sheetFormatPr defaultRowHeight="15" x14ac:dyDescent="0.25"/>
  <cols>
    <col min="1" max="1" width="23" bestFit="1" customWidth="1"/>
    <col min="2" max="2" width="12.7109375" customWidth="1"/>
    <col min="3" max="3" width="14.28515625" bestFit="1" customWidth="1"/>
    <col min="4" max="19" width="12.7109375" customWidth="1"/>
    <col min="20" max="20" width="26.140625" customWidth="1"/>
    <col min="21" max="38" width="12.7109375" customWidth="1"/>
    <col min="40" max="57" width="12.7109375" customWidth="1"/>
  </cols>
  <sheetData>
    <row r="1" spans="1:69"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row>
    <row r="2" spans="1:69" x14ac:dyDescent="0.25">
      <c r="A2" s="1" t="s">
        <v>332</v>
      </c>
      <c r="T2" s="1" t="s">
        <v>333</v>
      </c>
      <c r="U2" s="1"/>
      <c r="AM2" s="1" t="s">
        <v>334</v>
      </c>
    </row>
    <row r="3" spans="1:69" s="4" customFormat="1" x14ac:dyDescent="0.25">
      <c r="B3" s="4" t="s">
        <v>55</v>
      </c>
      <c r="C3" s="4" t="s">
        <v>57</v>
      </c>
      <c r="D3" s="4" t="s">
        <v>59</v>
      </c>
      <c r="E3" s="4" t="s">
        <v>61</v>
      </c>
      <c r="F3" s="4" t="s">
        <v>63</v>
      </c>
      <c r="G3" s="4" t="s">
        <v>65</v>
      </c>
      <c r="H3" s="4" t="s">
        <v>66</v>
      </c>
      <c r="I3" s="4" t="s">
        <v>68</v>
      </c>
      <c r="J3" s="4" t="s">
        <v>70</v>
      </c>
      <c r="K3" s="4" t="s">
        <v>72</v>
      </c>
      <c r="L3" s="4" t="s">
        <v>74</v>
      </c>
      <c r="M3" s="4" t="s">
        <v>76</v>
      </c>
      <c r="N3" s="4" t="s">
        <v>78</v>
      </c>
      <c r="O3" s="4" t="s">
        <v>80</v>
      </c>
      <c r="P3" s="4" t="s">
        <v>82</v>
      </c>
      <c r="Q3" s="4" t="s">
        <v>84</v>
      </c>
      <c r="R3" s="4" t="s">
        <v>86</v>
      </c>
      <c r="S3" s="4" t="s">
        <v>88</v>
      </c>
      <c r="U3" s="4" t="s">
        <v>55</v>
      </c>
      <c r="V3" s="4" t="s">
        <v>57</v>
      </c>
      <c r="W3" s="4" t="s">
        <v>59</v>
      </c>
      <c r="X3" s="4" t="s">
        <v>61</v>
      </c>
      <c r="Y3" s="4" t="s">
        <v>63</v>
      </c>
      <c r="Z3" s="4" t="s">
        <v>65</v>
      </c>
      <c r="AA3" s="4" t="s">
        <v>66</v>
      </c>
      <c r="AB3" s="4" t="s">
        <v>68</v>
      </c>
      <c r="AC3" s="4" t="s">
        <v>70</v>
      </c>
      <c r="AD3" s="4" t="s">
        <v>72</v>
      </c>
      <c r="AE3" s="4" t="s">
        <v>74</v>
      </c>
      <c r="AF3" s="4" t="s">
        <v>76</v>
      </c>
      <c r="AG3" s="4" t="s">
        <v>78</v>
      </c>
      <c r="AH3" s="4" t="s">
        <v>80</v>
      </c>
      <c r="AI3" s="4" t="s">
        <v>82</v>
      </c>
      <c r="AJ3" s="4" t="s">
        <v>84</v>
      </c>
      <c r="AK3" s="4" t="s">
        <v>86</v>
      </c>
      <c r="AL3" s="4" t="s">
        <v>88</v>
      </c>
      <c r="AN3" s="4" t="s">
        <v>55</v>
      </c>
      <c r="AO3" s="4" t="s">
        <v>57</v>
      </c>
      <c r="AP3" s="4" t="s">
        <v>59</v>
      </c>
      <c r="AQ3" s="4" t="s">
        <v>61</v>
      </c>
      <c r="AR3" s="4" t="s">
        <v>63</v>
      </c>
      <c r="AS3" s="4" t="s">
        <v>65</v>
      </c>
      <c r="AT3" s="4" t="s">
        <v>66</v>
      </c>
      <c r="AU3" s="4" t="s">
        <v>68</v>
      </c>
      <c r="AV3" s="4" t="s">
        <v>70</v>
      </c>
      <c r="AW3" s="4" t="s">
        <v>72</v>
      </c>
      <c r="AX3" s="4" t="s">
        <v>74</v>
      </c>
      <c r="AY3" s="4" t="s">
        <v>76</v>
      </c>
      <c r="AZ3" s="4" t="s">
        <v>78</v>
      </c>
      <c r="BA3" s="4" t="s">
        <v>80</v>
      </c>
      <c r="BB3" s="4" t="s">
        <v>82</v>
      </c>
      <c r="BC3" s="4" t="s">
        <v>84</v>
      </c>
      <c r="BD3" s="4" t="s">
        <v>86</v>
      </c>
      <c r="BE3" s="4" t="s">
        <v>88</v>
      </c>
    </row>
    <row r="4" spans="1:69" x14ac:dyDescent="0.25">
      <c r="A4" t="str">
        <f>'Local multi year dist'!S4</f>
        <v>Accomack County</v>
      </c>
      <c r="B4" s="63">
        <f>'Local multi year dist'!T4</f>
        <v>14150.897471224234</v>
      </c>
      <c r="C4" s="63">
        <f>'Local multi year dist'!U4</f>
        <v>89582.895913754997</v>
      </c>
      <c r="D4" s="63">
        <f>'Local multi year dist'!V4</f>
        <v>110478.6331181768</v>
      </c>
      <c r="E4" s="63">
        <f>'Local multi year dist'!W4</f>
        <v>42368.311223100747</v>
      </c>
      <c r="F4" s="63">
        <f>'Local multi year dist'!X4</f>
        <v>45527.488402206727</v>
      </c>
      <c r="G4" s="63">
        <f>'Local multi year dist'!Y4</f>
        <v>48384.857271364977</v>
      </c>
      <c r="H4" s="63">
        <f>'Local multi year dist'!Z4</f>
        <v>36862.609409655219</v>
      </c>
      <c r="I4" s="63">
        <f>'Local multi year dist'!AA4</f>
        <v>51663.215611446729</v>
      </c>
      <c r="J4" s="63">
        <f>'Local multi year dist'!AB4</f>
        <v>51898.279910405123</v>
      </c>
      <c r="K4" s="63">
        <f>'Local multi year dist'!AC4</f>
        <v>48591.992053452588</v>
      </c>
      <c r="L4" s="63">
        <f>'Local multi year dist'!AD4</f>
        <v>45093.666148762444</v>
      </c>
      <c r="M4" s="63">
        <f>'Local multi year dist'!AE4</f>
        <v>41455.735796662608</v>
      </c>
      <c r="N4" s="63">
        <f>'Local multi year dist'!AF4</f>
        <v>31636.785265935487</v>
      </c>
      <c r="O4" s="63">
        <f>'Local multi year dist'!AG4</f>
        <v>31636.785265935487</v>
      </c>
      <c r="P4" s="63">
        <f>'Local multi year dist'!AH4</f>
        <v>31636.785265935487</v>
      </c>
      <c r="Q4" s="63">
        <f>'Local multi year dist'!AI4</f>
        <v>26285.577540749149</v>
      </c>
      <c r="R4" s="63">
        <f>'Local multi year dist'!AJ4</f>
        <v>26285.577540749149</v>
      </c>
      <c r="S4" s="63">
        <f>'Local multi year dist'!AK4</f>
        <v>18402.98358499142</v>
      </c>
      <c r="T4" s="63"/>
      <c r="U4" s="63">
        <f>'Local multi year dist'!AM4</f>
        <v>0</v>
      </c>
      <c r="V4" s="63">
        <f>'Local multi year dist'!AN4</f>
        <v>32415.793409467733</v>
      </c>
      <c r="W4" s="63">
        <f>'Local multi year dist'!AO4</f>
        <v>37522.948539481462</v>
      </c>
      <c r="X4" s="63">
        <f>'Local multi year dist'!AP4</f>
        <v>14611.968342611217</v>
      </c>
      <c r="Y4" s="63">
        <f>'Local multi year dist'!AQ4</f>
        <v>16031.635798940315</v>
      </c>
      <c r="Z4" s="63">
        <f>'Local multi year dist'!AR4</f>
        <v>17079.337717631675</v>
      </c>
      <c r="AA4" s="63">
        <f>'Local multi year dist'!AS4</f>
        <v>12854.513501671427</v>
      </c>
      <c r="AB4" s="63">
        <f>'Local multi year dist'!AT4</f>
        <v>18281.402442328315</v>
      </c>
      <c r="AC4" s="63">
        <f>'Local multi year dist'!AU4</f>
        <v>18391.123938656263</v>
      </c>
      <c r="AD4" s="63">
        <f>'Local multi year dist'!AV4</f>
        <v>17104.099283695923</v>
      </c>
      <c r="AE4" s="63">
        <f>'Local multi year dist'!AW4</f>
        <v>15821.753237588062</v>
      </c>
      <c r="AF4" s="63">
        <f>'Local multi year dist'!AX4</f>
        <v>14487.845441818119</v>
      </c>
      <c r="AG4" s="63">
        <f>'Local multi year dist'!AY4</f>
        <v>11311.126152465229</v>
      </c>
      <c r="AH4" s="63">
        <f>'Local multi year dist'!AZ4</f>
        <v>11311.126152465229</v>
      </c>
      <c r="AI4" s="63">
        <f>'Local multi year dist'!BA4</f>
        <v>11311.126152465229</v>
      </c>
      <c r="AJ4" s="63">
        <f>'Local multi year dist'!BB4</f>
        <v>9349.0166532302392</v>
      </c>
      <c r="AK4" s="63">
        <f>'Local multi year dist'!BC4</f>
        <v>9349.0166532302392</v>
      </c>
      <c r="AL4" s="63">
        <f>'Local multi year dist'!BD4</f>
        <v>6747.7606478301868</v>
      </c>
      <c r="AN4" s="63">
        <f>'Local multi year dist'!BF4</f>
        <v>0</v>
      </c>
      <c r="AO4" s="63">
        <f>'Local multi year dist'!BG4</f>
        <v>8103.9483523669332</v>
      </c>
      <c r="AP4" s="63">
        <f>'Local multi year dist'!BH4</f>
        <v>9380.7371348703655</v>
      </c>
      <c r="AQ4" s="63">
        <f>'Local multi year dist'!BI4</f>
        <v>3652.9920856528042</v>
      </c>
      <c r="AR4" s="63">
        <f>'Local multi year dist'!BJ4</f>
        <v>4007.9089497350787</v>
      </c>
      <c r="AS4" s="63">
        <f>'Local multi year dist'!BK4</f>
        <v>4269.8344294079188</v>
      </c>
      <c r="AT4" s="63">
        <f>'Local multi year dist'!BL4</f>
        <v>3213.6283754178567</v>
      </c>
      <c r="AU4" s="63">
        <f>'Local multi year dist'!BM4</f>
        <v>4570.3506105820788</v>
      </c>
      <c r="AV4" s="63">
        <f>'Local multi year dist'!BN4</f>
        <v>4597.7809846640657</v>
      </c>
      <c r="AW4" s="63">
        <f>'Local multi year dist'!BO4</f>
        <v>4276.0248209239808</v>
      </c>
      <c r="AX4" s="63">
        <f>'Local multi year dist'!BP4</f>
        <v>3955.4383093970155</v>
      </c>
      <c r="AY4" s="63">
        <f>'Local multi year dist'!BQ4</f>
        <v>3621.9613604545298</v>
      </c>
      <c r="AZ4" s="63">
        <f>'Local multi year dist'!BR4</f>
        <v>2827.7815381163073</v>
      </c>
      <c r="BA4" s="63">
        <f>'Local multi year dist'!BS4</f>
        <v>2827.7815381163073</v>
      </c>
      <c r="BB4" s="63">
        <f>'Local multi year dist'!BT4</f>
        <v>2827.7815381163073</v>
      </c>
      <c r="BC4" s="63">
        <f>'Local multi year dist'!BU4</f>
        <v>2337.2541633075598</v>
      </c>
      <c r="BD4" s="63">
        <f>'Local multi year dist'!BV4</f>
        <v>2337.2541633075598</v>
      </c>
      <c r="BE4" s="63">
        <f>'Local multi year dist'!BW4</f>
        <v>1686.9401619575467</v>
      </c>
      <c r="BF4" s="63"/>
      <c r="BG4" s="63"/>
      <c r="BH4" s="63"/>
      <c r="BI4" s="63"/>
      <c r="BJ4" s="63"/>
      <c r="BK4" s="63"/>
      <c r="BL4" s="63"/>
      <c r="BM4" s="63"/>
      <c r="BN4" s="63"/>
      <c r="BO4" s="63"/>
      <c r="BP4" s="63"/>
      <c r="BQ4" s="63"/>
    </row>
    <row r="5" spans="1:69" x14ac:dyDescent="0.25">
      <c r="A5" t="str">
        <f>'Local multi year dist'!S5</f>
        <v>Albemarle County</v>
      </c>
      <c r="B5" s="63">
        <f>'Local multi year dist'!T5</f>
        <v>35092.59918869692</v>
      </c>
      <c r="C5" s="63">
        <f>'Local multi year dist'!U5</f>
        <v>222155.28498152486</v>
      </c>
      <c r="D5" s="63">
        <f>'Local multi year dist'!V5</f>
        <v>273974.31143961695</v>
      </c>
      <c r="E5" s="63">
        <f>'Local multi year dist'!W5</f>
        <v>105068.54191245972</v>
      </c>
      <c r="F5" s="63">
        <f>'Local multi year dist'!X5</f>
        <v>112902.93819282888</v>
      </c>
      <c r="G5" s="63">
        <f>'Local multi year dist'!Y5</f>
        <v>119988.88455513799</v>
      </c>
      <c r="H5" s="63">
        <f>'Local multi year dist'!Z5</f>
        <v>91415.034254403698</v>
      </c>
      <c r="I5" s="63">
        <f>'Local multi year dist'!AA5</f>
        <v>128118.83641574305</v>
      </c>
      <c r="J5" s="63">
        <f>'Local multi year dist'!AB5</f>
        <v>128701.76885827493</v>
      </c>
      <c r="K5" s="63">
        <f>'Local multi year dist'!AC5</f>
        <v>120502.55500611963</v>
      </c>
      <c r="L5" s="63">
        <f>'Local multi year dist'!AD5</f>
        <v>111827.1088689139</v>
      </c>
      <c r="M5" s="63">
        <f>'Local multi year dist'!AE5</f>
        <v>102805.45974862031</v>
      </c>
      <c r="N5" s="63">
        <f>'Local multi year dist'!AF5</f>
        <v>78455.591047420559</v>
      </c>
      <c r="O5" s="63">
        <f>'Local multi year dist'!AG5</f>
        <v>78455.591047420559</v>
      </c>
      <c r="P5" s="63">
        <f>'Local multi year dist'!AH5</f>
        <v>78455.591047420559</v>
      </c>
      <c r="Q5" s="63">
        <f>'Local multi year dist'!AI5</f>
        <v>65185.210970306158</v>
      </c>
      <c r="R5" s="63">
        <f>'Local multi year dist'!AJ5</f>
        <v>65185.210970306158</v>
      </c>
      <c r="S5" s="63">
        <f>'Local multi year dist'!AK5</f>
        <v>45637.284005309237</v>
      </c>
      <c r="T5" s="63"/>
      <c r="U5" s="63">
        <f>'Local multi year dist'!AM5</f>
        <v>0</v>
      </c>
      <c r="V5" s="63">
        <f>'Local multi year dist'!AN5</f>
        <v>80387.441702214623</v>
      </c>
      <c r="W5" s="63">
        <f>'Local multi year dist'!AO5</f>
        <v>93052.599395323399</v>
      </c>
      <c r="X5" s="63">
        <f>'Local multi year dist'!AP5</f>
        <v>36236.001953084757</v>
      </c>
      <c r="Y5" s="63">
        <f>'Local multi year dist'!AQ5</f>
        <v>39756.614064613532</v>
      </c>
      <c r="Z5" s="63">
        <f>'Local multi year dist'!AR5</f>
        <v>42354.794397460209</v>
      </c>
      <c r="AA5" s="63">
        <f>'Local multi year dist'!AS5</f>
        <v>31877.715953857627</v>
      </c>
      <c r="AB5" s="63">
        <f>'Local multi year dist'!AT5</f>
        <v>45335.776746348725</v>
      </c>
      <c r="AC5" s="63">
        <f>'Local multi year dist'!AU5</f>
        <v>45607.87344557578</v>
      </c>
      <c r="AD5" s="63">
        <f>'Local multi year dist'!AV5</f>
        <v>42416.200235142525</v>
      </c>
      <c r="AE5" s="63">
        <f>'Local multi year dist'!AW5</f>
        <v>39236.129436892283</v>
      </c>
      <c r="AF5" s="63">
        <f>'Local multi year dist'!AX5</f>
        <v>35928.191426117963</v>
      </c>
      <c r="AG5" s="63">
        <f>'Local multi year dist'!AY5</f>
        <v>28050.292728670989</v>
      </c>
      <c r="AH5" s="63">
        <f>'Local multi year dist'!AZ5</f>
        <v>28050.292728670989</v>
      </c>
      <c r="AI5" s="63">
        <f>'Local multi year dist'!BA5</f>
        <v>28050.292728670989</v>
      </c>
      <c r="AJ5" s="63">
        <f>'Local multi year dist'!BB5</f>
        <v>23184.486700395704</v>
      </c>
      <c r="AK5" s="63">
        <f>'Local multi year dist'!BC5</f>
        <v>23184.486700395704</v>
      </c>
      <c r="AL5" s="63">
        <f>'Local multi year dist'!BD5</f>
        <v>16733.670801946719</v>
      </c>
      <c r="AN5" s="63">
        <f>'Local multi year dist'!BF5</f>
        <v>0</v>
      </c>
      <c r="AO5" s="63">
        <f>'Local multi year dist'!BG5</f>
        <v>20096.860425553656</v>
      </c>
      <c r="AP5" s="63">
        <f>'Local multi year dist'!BH5</f>
        <v>23263.14984883085</v>
      </c>
      <c r="AQ5" s="63">
        <f>'Local multi year dist'!BI5</f>
        <v>9059.0004882711892</v>
      </c>
      <c r="AR5" s="63">
        <f>'Local multi year dist'!BJ5</f>
        <v>9939.153516153383</v>
      </c>
      <c r="AS5" s="63">
        <f>'Local multi year dist'!BK5</f>
        <v>10588.698599365052</v>
      </c>
      <c r="AT5" s="63">
        <f>'Local multi year dist'!BL5</f>
        <v>7969.4289884644068</v>
      </c>
      <c r="AU5" s="63">
        <f>'Local multi year dist'!BM5</f>
        <v>11333.944186587181</v>
      </c>
      <c r="AV5" s="63">
        <f>'Local multi year dist'!BN5</f>
        <v>11401.968361393945</v>
      </c>
      <c r="AW5" s="63">
        <f>'Local multi year dist'!BO5</f>
        <v>10604.050058785631</v>
      </c>
      <c r="AX5" s="63">
        <f>'Local multi year dist'!BP5</f>
        <v>9809.0323592230707</v>
      </c>
      <c r="AY5" s="63">
        <f>'Local multi year dist'!BQ5</f>
        <v>8982.0478565294907</v>
      </c>
      <c r="AZ5" s="63">
        <f>'Local multi year dist'!BR5</f>
        <v>7012.5731821677473</v>
      </c>
      <c r="BA5" s="63">
        <f>'Local multi year dist'!BS5</f>
        <v>7012.5731821677473</v>
      </c>
      <c r="BB5" s="63">
        <f>'Local multi year dist'!BT5</f>
        <v>7012.5731821677473</v>
      </c>
      <c r="BC5" s="63">
        <f>'Local multi year dist'!BU5</f>
        <v>5796.1216750989261</v>
      </c>
      <c r="BD5" s="63">
        <f>'Local multi year dist'!BV5</f>
        <v>5796.1216750989261</v>
      </c>
      <c r="BE5" s="63">
        <f>'Local multi year dist'!BW5</f>
        <v>4183.4177004866797</v>
      </c>
      <c r="BF5" s="63"/>
      <c r="BG5" s="63"/>
      <c r="BH5" s="63"/>
      <c r="BI5" s="63"/>
      <c r="BJ5" s="63"/>
      <c r="BK5" s="63"/>
      <c r="BL5" s="63"/>
      <c r="BM5" s="63"/>
      <c r="BN5" s="63"/>
      <c r="BO5" s="63"/>
      <c r="BP5" s="63"/>
      <c r="BQ5" s="63"/>
    </row>
    <row r="6" spans="1:69" x14ac:dyDescent="0.25">
      <c r="A6" t="str">
        <f>'Local multi year dist'!S6</f>
        <v>Alexandria City</v>
      </c>
      <c r="B6" s="63">
        <f>'Local multi year dist'!T6</f>
        <v>47250.98523437517</v>
      </c>
      <c r="C6" s="63">
        <f>'Local multi year dist'!U6</f>
        <v>299124.49727523938</v>
      </c>
      <c r="D6" s="63">
        <f>'Local multi year dist'!V6</f>
        <v>368897.04506701563</v>
      </c>
      <c r="E6" s="63">
        <f>'Local multi year dist'!W6</f>
        <v>141471.20011851456</v>
      </c>
      <c r="F6" s="63">
        <f>'Local multi year dist'!X6</f>
        <v>152019.946906219</v>
      </c>
      <c r="G6" s="63">
        <f>'Local multi year dist'!Y6</f>
        <v>161560.93146358075</v>
      </c>
      <c r="H6" s="63">
        <f>'Local multi year dist'!Z6</f>
        <v>123087.2187759177</v>
      </c>
      <c r="I6" s="63">
        <f>'Local multi year dist'!AA6</f>
        <v>172507.63373707212</v>
      </c>
      <c r="J6" s="63">
        <f>'Local multi year dist'!AB6</f>
        <v>173292.53234451366</v>
      </c>
      <c r="K6" s="63">
        <f>'Local multi year dist'!AC6</f>
        <v>162252.57116698823</v>
      </c>
      <c r="L6" s="63">
        <f>'Local multi year dist'!AD6</f>
        <v>150571.37949672979</v>
      </c>
      <c r="M6" s="63">
        <f>'Local multi year dist'!AE6</f>
        <v>138424.03734402859</v>
      </c>
      <c r="N6" s="63">
        <f>'Local multi year dist'!AF6</f>
        <v>105637.77149142826</v>
      </c>
      <c r="O6" s="63">
        <f>'Local multi year dist'!AG6</f>
        <v>105637.77149142826</v>
      </c>
      <c r="P6" s="63">
        <f>'Local multi year dist'!AH6</f>
        <v>105637.77149142826</v>
      </c>
      <c r="Q6" s="63">
        <f>'Local multi year dist'!AI6</f>
        <v>87769.65834008767</v>
      </c>
      <c r="R6" s="63">
        <f>'Local multi year dist'!AJ6</f>
        <v>87769.65834008767</v>
      </c>
      <c r="S6" s="63">
        <f>'Local multi year dist'!AK6</f>
        <v>61449.04289011503</v>
      </c>
      <c r="T6" s="63"/>
      <c r="U6" s="63">
        <f>'Local multi year dist'!AM6</f>
        <v>0</v>
      </c>
      <c r="V6" s="63">
        <f>'Local multi year dist'!AN6</f>
        <v>108238.94236149859</v>
      </c>
      <c r="W6" s="63">
        <f>'Local multi year dist'!AO6</f>
        <v>125292.14426114212</v>
      </c>
      <c r="X6" s="63">
        <f>'Local multi year dist'!AP6</f>
        <v>48790.537971592625</v>
      </c>
      <c r="Y6" s="63">
        <f>'Local multi year dist'!AQ6</f>
        <v>53530.921834392662</v>
      </c>
      <c r="Z6" s="63">
        <f>'Local multi year dist'!AR6</f>
        <v>57029.282838758634</v>
      </c>
      <c r="AA6" s="63">
        <f>'Local multi year dist'!AS6</f>
        <v>42922.254853282175</v>
      </c>
      <c r="AB6" s="63">
        <f>'Local multi year dist'!AT6</f>
        <v>61043.073672372135</v>
      </c>
      <c r="AC6" s="63">
        <f>'Local multi year dist'!AU6</f>
        <v>61409.442576777517</v>
      </c>
      <c r="AD6" s="63">
        <f>'Local multi year dist'!AV6</f>
        <v>57111.963700157081</v>
      </c>
      <c r="AE6" s="63">
        <f>'Local multi year dist'!AW6</f>
        <v>52830.107074934851</v>
      </c>
      <c r="AF6" s="63">
        <f>'Local multi year dist'!AX6</f>
        <v>48376.081618944409</v>
      </c>
      <c r="AG6" s="63">
        <f>'Local multi year dist'!AY6</f>
        <v>37768.760313691368</v>
      </c>
      <c r="AH6" s="63">
        <f>'Local multi year dist'!AZ6</f>
        <v>37768.760313691368</v>
      </c>
      <c r="AI6" s="63">
        <f>'Local multi year dist'!BA6</f>
        <v>37768.760313691368</v>
      </c>
      <c r="AJ6" s="63">
        <f>'Local multi year dist'!BB6</f>
        <v>31217.118824866488</v>
      </c>
      <c r="AK6" s="63">
        <f>'Local multi year dist'!BC6</f>
        <v>31217.118824866488</v>
      </c>
      <c r="AL6" s="63">
        <f>'Local multi year dist'!BD6</f>
        <v>22531.315726375509</v>
      </c>
      <c r="AN6" s="63">
        <f>'Local multi year dist'!BF6</f>
        <v>0</v>
      </c>
      <c r="AO6" s="63">
        <f>'Local multi year dist'!BG6</f>
        <v>27059.735590374647</v>
      </c>
      <c r="AP6" s="63">
        <f>'Local multi year dist'!BH6</f>
        <v>31323.036065285531</v>
      </c>
      <c r="AQ6" s="63">
        <f>'Local multi year dist'!BI6</f>
        <v>12197.634492898156</v>
      </c>
      <c r="AR6" s="63">
        <f>'Local multi year dist'!BJ6</f>
        <v>13382.730458598166</v>
      </c>
      <c r="AS6" s="63">
        <f>'Local multi year dist'!BK6</f>
        <v>14257.320709689659</v>
      </c>
      <c r="AT6" s="63">
        <f>'Local multi year dist'!BL6</f>
        <v>10730.563713320544</v>
      </c>
      <c r="AU6" s="63">
        <f>'Local multi year dist'!BM6</f>
        <v>15260.768418093034</v>
      </c>
      <c r="AV6" s="63">
        <f>'Local multi year dist'!BN6</f>
        <v>15352.360644194379</v>
      </c>
      <c r="AW6" s="63">
        <f>'Local multi year dist'!BO6</f>
        <v>14277.99092503927</v>
      </c>
      <c r="AX6" s="63">
        <f>'Local multi year dist'!BP6</f>
        <v>13207.526768733713</v>
      </c>
      <c r="AY6" s="63">
        <f>'Local multi year dist'!BQ6</f>
        <v>12094.020404736102</v>
      </c>
      <c r="AZ6" s="63">
        <f>'Local multi year dist'!BR6</f>
        <v>9442.1900784228419</v>
      </c>
      <c r="BA6" s="63">
        <f>'Local multi year dist'!BS6</f>
        <v>9442.1900784228419</v>
      </c>
      <c r="BB6" s="63">
        <f>'Local multi year dist'!BT6</f>
        <v>9442.1900784228419</v>
      </c>
      <c r="BC6" s="63">
        <f>'Local multi year dist'!BU6</f>
        <v>7804.2797062166219</v>
      </c>
      <c r="BD6" s="63">
        <f>'Local multi year dist'!BV6</f>
        <v>7804.2797062166219</v>
      </c>
      <c r="BE6" s="63">
        <f>'Local multi year dist'!BW6</f>
        <v>5632.8289315938773</v>
      </c>
      <c r="BF6" s="63"/>
      <c r="BG6" s="63"/>
      <c r="BH6" s="63"/>
      <c r="BI6" s="63"/>
      <c r="BJ6" s="63"/>
      <c r="BK6" s="63"/>
      <c r="BL6" s="63"/>
      <c r="BM6" s="63"/>
      <c r="BN6" s="63"/>
      <c r="BO6" s="63"/>
      <c r="BP6" s="63"/>
      <c r="BQ6" s="63"/>
    </row>
    <row r="7" spans="1:69" x14ac:dyDescent="0.25">
      <c r="A7" t="str">
        <f>'Local multi year dist'!S7</f>
        <v>Alleghany County</v>
      </c>
      <c r="B7" s="63">
        <f>'Local multi year dist'!T7</f>
        <v>8661.3251763527642</v>
      </c>
      <c r="C7" s="63">
        <f>'Local multi year dist'!U7</f>
        <v>54830.910429970732</v>
      </c>
      <c r="D7" s="63">
        <f>'Local multi year dist'!V7</f>
        <v>67620.542684401327</v>
      </c>
      <c r="E7" s="63">
        <f>'Local multi year dist'!W7</f>
        <v>25932.3284210358</v>
      </c>
      <c r="F7" s="63">
        <f>'Local multi year dist'!X7</f>
        <v>27865.962728936876</v>
      </c>
      <c r="G7" s="63">
        <f>'Local multi year dist'!Y7</f>
        <v>29614.869536783735</v>
      </c>
      <c r="H7" s="63">
        <f>'Local multi year dist'!Z7</f>
        <v>22562.459207633798</v>
      </c>
      <c r="I7" s="63">
        <f>'Local multi year dist'!AA7</f>
        <v>31621.450934592394</v>
      </c>
      <c r="J7" s="63">
        <f>'Local multi year dist'!AB7</f>
        <v>31765.326496885897</v>
      </c>
      <c r="K7" s="63">
        <f>'Local multi year dist'!AC7</f>
        <v>29741.650308578737</v>
      </c>
      <c r="L7" s="63">
        <f>'Local multi year dist'!AD7</f>
        <v>27600.433591052875</v>
      </c>
      <c r="M7" s="63">
        <f>'Local multi year dist'!AE7</f>
        <v>25373.769323819353</v>
      </c>
      <c r="N7" s="63">
        <f>'Local multi year dist'!AF7</f>
        <v>19363.894430012238</v>
      </c>
      <c r="O7" s="63">
        <f>'Local multi year dist'!AG7</f>
        <v>19363.894430012238</v>
      </c>
      <c r="P7" s="63">
        <f>'Local multi year dist'!AH7</f>
        <v>19363.894430012238</v>
      </c>
      <c r="Q7" s="63">
        <f>'Local multi year dist'!AI7</f>
        <v>16088.586253389565</v>
      </c>
      <c r="R7" s="63">
        <f>'Local multi year dist'!AJ7</f>
        <v>16088.586253389565</v>
      </c>
      <c r="S7" s="63">
        <f>'Local multi year dist'!AK7</f>
        <v>11263.895125296473</v>
      </c>
      <c r="T7" s="63"/>
      <c r="U7" s="63">
        <f>'Local multi year dist'!AM7</f>
        <v>0</v>
      </c>
      <c r="V7" s="63">
        <f>'Local multi year dist'!AN7</f>
        <v>19840.701138553526</v>
      </c>
      <c r="W7" s="63">
        <f>'Local multi year dist'!AO7</f>
        <v>22966.632295717103</v>
      </c>
      <c r="X7" s="63">
        <f>'Local multi year dist'!AP7</f>
        <v>8943.5323476327285</v>
      </c>
      <c r="Y7" s="63">
        <f>'Local multi year dist'!AQ7</f>
        <v>9812.4667390065733</v>
      </c>
      <c r="Z7" s="63">
        <f>'Local multi year dist'!AR7</f>
        <v>10453.732568550422</v>
      </c>
      <c r="AA7" s="63">
        <f>'Local multi year dist'!AS7</f>
        <v>7867.8487811954419</v>
      </c>
      <c r="AB7" s="63">
        <f>'Local multi year dist'!AT7</f>
        <v>11189.479081080262</v>
      </c>
      <c r="AC7" s="63">
        <f>'Local multi year dist'!AU7</f>
        <v>11256.636203832712</v>
      </c>
      <c r="AD7" s="63">
        <f>'Local multi year dist'!AV7</f>
        <v>10468.888354675953</v>
      </c>
      <c r="AE7" s="63">
        <f>'Local multi year dist'!AW7</f>
        <v>9684.0041367995891</v>
      </c>
      <c r="AF7" s="63">
        <f>'Local multi year dist'!AX7</f>
        <v>8867.5605721472966</v>
      </c>
      <c r="AG7" s="63">
        <f>'Local multi year dist'!AY7</f>
        <v>6923.1892829744074</v>
      </c>
      <c r="AH7" s="63">
        <f>'Local multi year dist'!AZ7</f>
        <v>6923.1892829744074</v>
      </c>
      <c r="AI7" s="63">
        <f>'Local multi year dist'!BA7</f>
        <v>6923.1892829744074</v>
      </c>
      <c r="AJ7" s="63">
        <f>'Local multi year dist'!BB7</f>
        <v>5722.2429515460944</v>
      </c>
      <c r="AK7" s="63">
        <f>'Local multi year dist'!BC7</f>
        <v>5722.2429515460944</v>
      </c>
      <c r="AL7" s="63">
        <f>'Local multi year dist'!BD7</f>
        <v>4130.0948792753734</v>
      </c>
      <c r="AN7" s="63">
        <f>'Local multi year dist'!BF7</f>
        <v>0</v>
      </c>
      <c r="AO7" s="63">
        <f>'Local multi year dist'!BG7</f>
        <v>4960.1752846383815</v>
      </c>
      <c r="AP7" s="63">
        <f>'Local multi year dist'!BH7</f>
        <v>5741.6580739292758</v>
      </c>
      <c r="AQ7" s="63">
        <f>'Local multi year dist'!BI7</f>
        <v>2235.8830869081821</v>
      </c>
      <c r="AR7" s="63">
        <f>'Local multi year dist'!BJ7</f>
        <v>2453.1166847516433</v>
      </c>
      <c r="AS7" s="63">
        <f>'Local multi year dist'!BK7</f>
        <v>2613.4331421376055</v>
      </c>
      <c r="AT7" s="63">
        <f>'Local multi year dist'!BL7</f>
        <v>1966.9621952988605</v>
      </c>
      <c r="AU7" s="63">
        <f>'Local multi year dist'!BM7</f>
        <v>2797.3697702700656</v>
      </c>
      <c r="AV7" s="63">
        <f>'Local multi year dist'!BN7</f>
        <v>2814.1590509581779</v>
      </c>
      <c r="AW7" s="63">
        <f>'Local multi year dist'!BO7</f>
        <v>2617.2220886689884</v>
      </c>
      <c r="AX7" s="63">
        <f>'Local multi year dist'!BP7</f>
        <v>2421.0010341998973</v>
      </c>
      <c r="AY7" s="63">
        <f>'Local multi year dist'!BQ7</f>
        <v>2216.8901430368242</v>
      </c>
      <c r="AZ7" s="63">
        <f>'Local multi year dist'!BR7</f>
        <v>1730.7973207436019</v>
      </c>
      <c r="BA7" s="63">
        <f>'Local multi year dist'!BS7</f>
        <v>1730.7973207436019</v>
      </c>
      <c r="BB7" s="63">
        <f>'Local multi year dist'!BT7</f>
        <v>1730.7973207436019</v>
      </c>
      <c r="BC7" s="63">
        <f>'Local multi year dist'!BU7</f>
        <v>1430.5607378865236</v>
      </c>
      <c r="BD7" s="63">
        <f>'Local multi year dist'!BV7</f>
        <v>1430.5607378865236</v>
      </c>
      <c r="BE7" s="63">
        <f>'Local multi year dist'!BW7</f>
        <v>1032.5237198188433</v>
      </c>
      <c r="BF7" s="63"/>
      <c r="BG7" s="63"/>
      <c r="BH7" s="63"/>
      <c r="BI7" s="63"/>
      <c r="BJ7" s="63"/>
      <c r="BK7" s="63"/>
      <c r="BL7" s="63"/>
      <c r="BM7" s="63"/>
      <c r="BN7" s="63"/>
      <c r="BO7" s="63"/>
      <c r="BP7" s="63"/>
      <c r="BQ7" s="63"/>
    </row>
    <row r="8" spans="1:69" x14ac:dyDescent="0.25">
      <c r="A8" t="str">
        <f>'Local multi year dist'!S8</f>
        <v>Amelia County</v>
      </c>
      <c r="B8" s="63">
        <f>'Local multi year dist'!T8</f>
        <v>4066.3498480529406</v>
      </c>
      <c r="C8" s="63">
        <f>'Local multi year dist'!U8</f>
        <v>25742.211469469825</v>
      </c>
      <c r="D8" s="63">
        <f>'Local multi year dist'!V8</f>
        <v>31746.733654648509</v>
      </c>
      <c r="E8" s="63">
        <f>'Local multi year dist'!W8</f>
        <v>12174.802075603662</v>
      </c>
      <c r="F8" s="63">
        <f>'Local multi year dist'!X8</f>
        <v>13082.611609829521</v>
      </c>
      <c r="G8" s="63">
        <f>'Local multi year dist'!Y8</f>
        <v>13903.694618208327</v>
      </c>
      <c r="H8" s="63">
        <f>'Local multi year dist'!Z8</f>
        <v>10592.703853349201</v>
      </c>
      <c r="I8" s="63">
        <f>'Local multi year dist'!AA8</f>
        <v>14845.751612484693</v>
      </c>
      <c r="J8" s="63">
        <f>'Local multi year dist'!AB8</f>
        <v>14913.29882482906</v>
      </c>
      <c r="K8" s="63">
        <f>'Local multi year dist'!AC8</f>
        <v>13963.216107313961</v>
      </c>
      <c r="L8" s="63">
        <f>'Local multi year dist'!AD8</f>
        <v>12957.950042747831</v>
      </c>
      <c r="M8" s="63">
        <f>'Local multi year dist'!AE8</f>
        <v>11912.567757661669</v>
      </c>
      <c r="N8" s="63">
        <f>'Local multi year dist'!AF8</f>
        <v>9091.0302488320358</v>
      </c>
      <c r="O8" s="63">
        <f>'Local multi year dist'!AG8</f>
        <v>9091.0302488320358</v>
      </c>
      <c r="P8" s="63">
        <f>'Local multi year dist'!AH8</f>
        <v>9091.0302488320358</v>
      </c>
      <c r="Q8" s="63">
        <f>'Local multi year dist'!AI8</f>
        <v>7553.3268795256181</v>
      </c>
      <c r="R8" s="63">
        <f>'Local multi year dist'!AJ8</f>
        <v>7553.3268795256181</v>
      </c>
      <c r="S8" s="63">
        <f>'Local multi year dist'!AK8</f>
        <v>5288.2136738481095</v>
      </c>
      <c r="T8" s="63"/>
      <c r="U8" s="63">
        <f>'Local multi year dist'!AM8</f>
        <v>0</v>
      </c>
      <c r="V8" s="63">
        <f>'Local multi year dist'!AN8</f>
        <v>9314.8831636401537</v>
      </c>
      <c r="W8" s="63">
        <f>'Local multi year dist'!AO8</f>
        <v>10782.45647686249</v>
      </c>
      <c r="X8" s="63">
        <f>'Local multi year dist'!AP8</f>
        <v>4198.8414777618436</v>
      </c>
      <c r="Y8" s="63">
        <f>'Local multi year dist'!AQ8</f>
        <v>4606.7918962472177</v>
      </c>
      <c r="Z8" s="63">
        <f>'Local multi year dist'!AR8</f>
        <v>4907.8556659861133</v>
      </c>
      <c r="AA8" s="63">
        <f>'Local multi year dist'!AS8</f>
        <v>3693.8257188711</v>
      </c>
      <c r="AB8" s="63">
        <f>'Local multi year dist'!AT8</f>
        <v>5253.276563887448</v>
      </c>
      <c r="AC8" s="63">
        <f>'Local multi year dist'!AU8</f>
        <v>5284.8057294989258</v>
      </c>
      <c r="AD8" s="63">
        <f>'Local multi year dist'!AV8</f>
        <v>4914.9710585333114</v>
      </c>
      <c r="AE8" s="63">
        <f>'Local multi year dist'!AW8</f>
        <v>4546.4808153988688</v>
      </c>
      <c r="AF8" s="63">
        <f>'Local multi year dist'!AX8</f>
        <v>4163.1739775339429</v>
      </c>
      <c r="AG8" s="63">
        <f>'Local multi year dist'!AY8</f>
        <v>3250.3236070302382</v>
      </c>
      <c r="AH8" s="63">
        <f>'Local multi year dist'!AZ8</f>
        <v>3250.3236070302382</v>
      </c>
      <c r="AI8" s="63">
        <f>'Local multi year dist'!BA8</f>
        <v>3250.3236070302382</v>
      </c>
      <c r="AJ8" s="63">
        <f>'Local multi year dist'!BB8</f>
        <v>2686.4990382845517</v>
      </c>
      <c r="AK8" s="63">
        <f>'Local multi year dist'!BC8</f>
        <v>2686.4990382845517</v>
      </c>
      <c r="AL8" s="63">
        <f>'Local multi year dist'!BD8</f>
        <v>1939.0116804109734</v>
      </c>
      <c r="AN8" s="63">
        <f>'Local multi year dist'!BF8</f>
        <v>0</v>
      </c>
      <c r="AO8" s="63">
        <f>'Local multi year dist'!BG8</f>
        <v>2328.7207909100384</v>
      </c>
      <c r="AP8" s="63">
        <f>'Local multi year dist'!BH8</f>
        <v>2695.6141192156224</v>
      </c>
      <c r="AQ8" s="63">
        <f>'Local multi year dist'!BI8</f>
        <v>1049.7103694404609</v>
      </c>
      <c r="AR8" s="63">
        <f>'Local multi year dist'!BJ8</f>
        <v>1151.6979740618044</v>
      </c>
      <c r="AS8" s="63">
        <f>'Local multi year dist'!BK8</f>
        <v>1226.9639164965283</v>
      </c>
      <c r="AT8" s="63">
        <f>'Local multi year dist'!BL8</f>
        <v>923.45642971777499</v>
      </c>
      <c r="AU8" s="63">
        <f>'Local multi year dist'!BM8</f>
        <v>1313.319140971862</v>
      </c>
      <c r="AV8" s="63">
        <f>'Local multi year dist'!BN8</f>
        <v>1321.2014323747314</v>
      </c>
      <c r="AW8" s="63">
        <f>'Local multi year dist'!BO8</f>
        <v>1228.7427646333279</v>
      </c>
      <c r="AX8" s="63">
        <f>'Local multi year dist'!BP8</f>
        <v>1136.6202038497172</v>
      </c>
      <c r="AY8" s="63">
        <f>'Local multi year dist'!BQ8</f>
        <v>1040.7934943834857</v>
      </c>
      <c r="AZ8" s="63">
        <f>'Local multi year dist'!BR8</f>
        <v>812.58090175755956</v>
      </c>
      <c r="BA8" s="63">
        <f>'Local multi year dist'!BS8</f>
        <v>812.58090175755956</v>
      </c>
      <c r="BB8" s="63">
        <f>'Local multi year dist'!BT8</f>
        <v>812.58090175755956</v>
      </c>
      <c r="BC8" s="63">
        <f>'Local multi year dist'!BU8</f>
        <v>671.62475957113793</v>
      </c>
      <c r="BD8" s="63">
        <f>'Local multi year dist'!BV8</f>
        <v>671.62475957113793</v>
      </c>
      <c r="BE8" s="63">
        <f>'Local multi year dist'!BW8</f>
        <v>484.75292010274336</v>
      </c>
      <c r="BF8" s="63"/>
      <c r="BG8" s="63"/>
      <c r="BH8" s="63"/>
      <c r="BI8" s="63"/>
      <c r="BJ8" s="63"/>
      <c r="BK8" s="63"/>
      <c r="BL8" s="63"/>
      <c r="BM8" s="63"/>
      <c r="BN8" s="63"/>
      <c r="BO8" s="63"/>
      <c r="BP8" s="63"/>
      <c r="BQ8" s="63"/>
    </row>
    <row r="9" spans="1:69" x14ac:dyDescent="0.25">
      <c r="A9" t="str">
        <f>'Local multi year dist'!S9</f>
        <v>Amherst County</v>
      </c>
      <c r="B9" s="63">
        <f>'Local multi year dist'!T9</f>
        <v>12158.386045678291</v>
      </c>
      <c r="C9" s="63">
        <f>'Local multi year dist'!U9</f>
        <v>76969.21229371478</v>
      </c>
      <c r="D9" s="63">
        <f>'Local multi year dist'!V9</f>
        <v>94922.733627399022</v>
      </c>
      <c r="E9" s="63">
        <f>'Local multi year dist'!W9</f>
        <v>36402.658206054948</v>
      </c>
      <c r="F9" s="63">
        <f>'Local multi year dist'!X9</f>
        <v>39117.008713390256</v>
      </c>
      <c r="G9" s="63">
        <f>'Local multi year dist'!Y9</f>
        <v>41572.046908442891</v>
      </c>
      <c r="H9" s="63">
        <f>'Local multi year dist'!Z9</f>
        <v>31672.184521514107</v>
      </c>
      <c r="I9" s="63">
        <f>'Local multi year dist'!AA9</f>
        <v>44388.797321329228</v>
      </c>
      <c r="J9" s="63">
        <f>'Local multi year dist'!AB9</f>
        <v>44590.76348623888</v>
      </c>
      <c r="K9" s="63">
        <f>'Local multi year dist'!AC9</f>
        <v>41750.016160868741</v>
      </c>
      <c r="L9" s="63">
        <f>'Local multi year dist'!AD9</f>
        <v>38744.270627816004</v>
      </c>
      <c r="M9" s="63">
        <f>'Local multi year dist'!AE9</f>
        <v>35618.577595408387</v>
      </c>
      <c r="N9" s="63">
        <f>'Local multi year dist'!AF9</f>
        <v>27182.180444007787</v>
      </c>
      <c r="O9" s="63">
        <f>'Local multi year dist'!AG9</f>
        <v>27182.180444007787</v>
      </c>
      <c r="P9" s="63">
        <f>'Local multi year dist'!AH9</f>
        <v>27182.180444007787</v>
      </c>
      <c r="Q9" s="63">
        <f>'Local multi year dist'!AI9</f>
        <v>22584.447369781596</v>
      </c>
      <c r="R9" s="63">
        <f>'Local multi year dist'!AJ9</f>
        <v>22584.447369781596</v>
      </c>
      <c r="S9" s="63">
        <f>'Local multi year dist'!AK9</f>
        <v>15811.758884805846</v>
      </c>
      <c r="T9" s="63"/>
      <c r="U9" s="63">
        <f>'Local multi year dist'!AM9</f>
        <v>0</v>
      </c>
      <c r="V9" s="63">
        <f>'Local multi year dist'!AN9</f>
        <v>27851.500659284058</v>
      </c>
      <c r="W9" s="63">
        <f>'Local multi year dist'!AO9</f>
        <v>32239.54486581884</v>
      </c>
      <c r="X9" s="63">
        <f>'Local multi year dist'!AP9</f>
        <v>12554.536018507912</v>
      </c>
      <c r="Y9" s="63">
        <f>'Local multi year dist'!AQ9</f>
        <v>13774.307769779178</v>
      </c>
      <c r="Z9" s="63">
        <f>'Local multi year dist'!AR9</f>
        <v>14674.488441298477</v>
      </c>
      <c r="AA9" s="63">
        <f>'Local multi year dist'!AS9</f>
        <v>11044.538899424588</v>
      </c>
      <c r="AB9" s="63">
        <f>'Local multi year dist'!AT9</f>
        <v>15707.296926023466</v>
      </c>
      <c r="AC9" s="63">
        <f>'Local multi year dist'!AU9</f>
        <v>15801.569131201786</v>
      </c>
      <c r="AD9" s="63">
        <f>'Local multi year dist'!AV9</f>
        <v>14695.763465014601</v>
      </c>
      <c r="AE9" s="63">
        <f>'Local multi year dist'!AW9</f>
        <v>13593.977638042616</v>
      </c>
      <c r="AF9" s="63">
        <f>'Local multi year dist'!AX9</f>
        <v>12447.890192826486</v>
      </c>
      <c r="AG9" s="63">
        <f>'Local multi year dist'!AY9</f>
        <v>9718.4675850204112</v>
      </c>
      <c r="AH9" s="63">
        <f>'Local multi year dist'!AZ9</f>
        <v>9718.4675850204112</v>
      </c>
      <c r="AI9" s="63">
        <f>'Local multi year dist'!BA9</f>
        <v>9718.4675850204112</v>
      </c>
      <c r="AJ9" s="63">
        <f>'Local multi year dist'!BB9</f>
        <v>8032.6321244708079</v>
      </c>
      <c r="AK9" s="63">
        <f>'Local multi year dist'!BC9</f>
        <v>8032.6321244708079</v>
      </c>
      <c r="AL9" s="63">
        <f>'Local multi year dist'!BD9</f>
        <v>5797.6449244288096</v>
      </c>
      <c r="AN9" s="63">
        <f>'Local multi year dist'!BF9</f>
        <v>0</v>
      </c>
      <c r="AO9" s="63">
        <f>'Local multi year dist'!BG9</f>
        <v>6962.8751648210146</v>
      </c>
      <c r="AP9" s="63">
        <f>'Local multi year dist'!BH9</f>
        <v>8059.8862164547099</v>
      </c>
      <c r="AQ9" s="63">
        <f>'Local multi year dist'!BI9</f>
        <v>3138.6340046269779</v>
      </c>
      <c r="AR9" s="63">
        <f>'Local multi year dist'!BJ9</f>
        <v>3443.5769424447944</v>
      </c>
      <c r="AS9" s="63">
        <f>'Local multi year dist'!BK9</f>
        <v>3668.6221103246194</v>
      </c>
      <c r="AT9" s="63">
        <f>'Local multi year dist'!BL9</f>
        <v>2761.1347248561469</v>
      </c>
      <c r="AU9" s="63">
        <f>'Local multi year dist'!BM9</f>
        <v>3926.8242315058665</v>
      </c>
      <c r="AV9" s="63">
        <f>'Local multi year dist'!BN9</f>
        <v>3950.3922828004465</v>
      </c>
      <c r="AW9" s="63">
        <f>'Local multi year dist'!BO9</f>
        <v>3673.9408662536503</v>
      </c>
      <c r="AX9" s="63">
        <f>'Local multi year dist'!BP9</f>
        <v>3398.4944095106539</v>
      </c>
      <c r="AY9" s="63">
        <f>'Local multi year dist'!BQ9</f>
        <v>3111.9725482066215</v>
      </c>
      <c r="AZ9" s="63">
        <f>'Local multi year dist'!BR9</f>
        <v>2429.6168962551028</v>
      </c>
      <c r="BA9" s="63">
        <f>'Local multi year dist'!BS9</f>
        <v>2429.6168962551028</v>
      </c>
      <c r="BB9" s="63">
        <f>'Local multi year dist'!BT9</f>
        <v>2429.6168962551028</v>
      </c>
      <c r="BC9" s="63">
        <f>'Local multi year dist'!BU9</f>
        <v>2008.158031117702</v>
      </c>
      <c r="BD9" s="63">
        <f>'Local multi year dist'!BV9</f>
        <v>2008.158031117702</v>
      </c>
      <c r="BE9" s="63">
        <f>'Local multi year dist'!BW9</f>
        <v>1449.4112311072024</v>
      </c>
      <c r="BF9" s="63"/>
      <c r="BG9" s="63"/>
      <c r="BH9" s="63"/>
      <c r="BI9" s="63"/>
      <c r="BJ9" s="63"/>
      <c r="BK9" s="63"/>
      <c r="BL9" s="63"/>
      <c r="BM9" s="63"/>
      <c r="BN9" s="63"/>
      <c r="BO9" s="63"/>
      <c r="BP9" s="63"/>
      <c r="BQ9" s="63"/>
    </row>
    <row r="10" spans="1:69" x14ac:dyDescent="0.25">
      <c r="A10" t="str">
        <f>'Local multi year dist'!S10</f>
        <v>Appomattox County</v>
      </c>
      <c r="B10" s="63">
        <f>'Local multi year dist'!T10</f>
        <v>5408.245297910411</v>
      </c>
      <c r="C10" s="63">
        <f>'Local multi year dist'!U10</f>
        <v>34237.141254394868</v>
      </c>
      <c r="D10" s="63">
        <f>'Local multi year dist'!V10</f>
        <v>42223.155760682515</v>
      </c>
      <c r="E10" s="63">
        <f>'Local multi year dist'!W10</f>
        <v>16192.486760552871</v>
      </c>
      <c r="F10" s="63">
        <f>'Local multi year dist'!X10</f>
        <v>17399.873441073261</v>
      </c>
      <c r="G10" s="63">
        <f>'Local multi year dist'!Y10</f>
        <v>18491.913842217073</v>
      </c>
      <c r="H10" s="63">
        <f>'Local multi year dist'!Z10</f>
        <v>14088.296124954435</v>
      </c>
      <c r="I10" s="63">
        <f>'Local multi year dist'!AA10</f>
        <v>19744.849644604641</v>
      </c>
      <c r="J10" s="63">
        <f>'Local multi year dist'!AB10</f>
        <v>19834.687437022647</v>
      </c>
      <c r="K10" s="63">
        <f>'Local multi year dist'!AC10</f>
        <v>18571.077422727569</v>
      </c>
      <c r="L10" s="63">
        <f>'Local multi year dist'!AD10</f>
        <v>17234.073556854612</v>
      </c>
      <c r="M10" s="63">
        <f>'Local multi year dist'!AE10</f>
        <v>15843.715117690019</v>
      </c>
      <c r="N10" s="63">
        <f>'Local multi year dist'!AF10</f>
        <v>12091.070230946607</v>
      </c>
      <c r="O10" s="63">
        <f>'Local multi year dist'!AG10</f>
        <v>12091.070230946607</v>
      </c>
      <c r="P10" s="63">
        <f>'Local multi year dist'!AH10</f>
        <v>12091.070230946607</v>
      </c>
      <c r="Q10" s="63">
        <f>'Local multi year dist'!AI10</f>
        <v>10045.92474976907</v>
      </c>
      <c r="R10" s="63">
        <f>'Local multi year dist'!AJ10</f>
        <v>10045.92474976907</v>
      </c>
      <c r="S10" s="63">
        <f>'Local multi year dist'!AK10</f>
        <v>7033.3241862179848</v>
      </c>
      <c r="T10" s="63"/>
      <c r="U10" s="63">
        <f>'Local multi year dist'!AM10</f>
        <v>0</v>
      </c>
      <c r="V10" s="63">
        <f>'Local multi year dist'!AN10</f>
        <v>12388.794607641403</v>
      </c>
      <c r="W10" s="63">
        <f>'Local multi year dist'!AO10</f>
        <v>14340.66711422711</v>
      </c>
      <c r="X10" s="63">
        <f>'Local multi year dist'!AP10</f>
        <v>5584.4591654232518</v>
      </c>
      <c r="Y10" s="63">
        <f>'Local multi year dist'!AQ10</f>
        <v>6127.0332220087985</v>
      </c>
      <c r="Z10" s="63">
        <f>'Local multi year dist'!AR10</f>
        <v>6527.4480357615303</v>
      </c>
      <c r="AA10" s="63">
        <f>'Local multi year dist'!AS10</f>
        <v>4912.7882060985621</v>
      </c>
      <c r="AB10" s="63">
        <f>'Local multi year dist'!AT10</f>
        <v>6986.8578299703049</v>
      </c>
      <c r="AC10" s="63">
        <f>'Local multi year dist'!AU10</f>
        <v>7028.7916202335709</v>
      </c>
      <c r="AD10" s="63">
        <f>'Local multi year dist'!AV10</f>
        <v>6536.9115078493041</v>
      </c>
      <c r="AE10" s="63">
        <f>'Local multi year dist'!AW10</f>
        <v>6046.8194844804948</v>
      </c>
      <c r="AF10" s="63">
        <f>'Local multi year dist'!AX10</f>
        <v>5537.0213901201432</v>
      </c>
      <c r="AG10" s="63">
        <f>'Local multi year dist'!AY10</f>
        <v>4322.9303973502165</v>
      </c>
      <c r="AH10" s="63">
        <f>'Local multi year dist'!AZ10</f>
        <v>4322.9303973502165</v>
      </c>
      <c r="AI10" s="63">
        <f>'Local multi year dist'!BA10</f>
        <v>4322.9303973502165</v>
      </c>
      <c r="AJ10" s="63">
        <f>'Local multi year dist'!BB10</f>
        <v>3573.0437209184533</v>
      </c>
      <c r="AK10" s="63">
        <f>'Local multi year dist'!BC10</f>
        <v>3573.0437209184533</v>
      </c>
      <c r="AL10" s="63">
        <f>'Local multi year dist'!BD10</f>
        <v>2578.8855349465944</v>
      </c>
      <c r="AN10" s="63">
        <f>'Local multi year dist'!BF10</f>
        <v>0</v>
      </c>
      <c r="AO10" s="63">
        <f>'Local multi year dist'!BG10</f>
        <v>3097.1986519103507</v>
      </c>
      <c r="AP10" s="63">
        <f>'Local multi year dist'!BH10</f>
        <v>3585.1667785567774</v>
      </c>
      <c r="AQ10" s="63">
        <f>'Local multi year dist'!BI10</f>
        <v>1396.1147913558129</v>
      </c>
      <c r="AR10" s="63">
        <f>'Local multi year dist'!BJ10</f>
        <v>1531.7583055021996</v>
      </c>
      <c r="AS10" s="63">
        <f>'Local multi year dist'!BK10</f>
        <v>1631.8620089403826</v>
      </c>
      <c r="AT10" s="63">
        <f>'Local multi year dist'!BL10</f>
        <v>1228.1970515246405</v>
      </c>
      <c r="AU10" s="63">
        <f>'Local multi year dist'!BM10</f>
        <v>1746.7144574925762</v>
      </c>
      <c r="AV10" s="63">
        <f>'Local multi year dist'!BN10</f>
        <v>1757.1979050583927</v>
      </c>
      <c r="AW10" s="63">
        <f>'Local multi year dist'!BO10</f>
        <v>1634.227876962326</v>
      </c>
      <c r="AX10" s="63">
        <f>'Local multi year dist'!BP10</f>
        <v>1511.7048711201237</v>
      </c>
      <c r="AY10" s="63">
        <f>'Local multi year dist'!BQ10</f>
        <v>1384.2553475300358</v>
      </c>
      <c r="AZ10" s="63">
        <f>'Local multi year dist'!BR10</f>
        <v>1080.7325993375541</v>
      </c>
      <c r="BA10" s="63">
        <f>'Local multi year dist'!BS10</f>
        <v>1080.7325993375541</v>
      </c>
      <c r="BB10" s="63">
        <f>'Local multi year dist'!BT10</f>
        <v>1080.7325993375541</v>
      </c>
      <c r="BC10" s="63">
        <f>'Local multi year dist'!BU10</f>
        <v>893.26093022961334</v>
      </c>
      <c r="BD10" s="63">
        <f>'Local multi year dist'!BV10</f>
        <v>893.26093022961334</v>
      </c>
      <c r="BE10" s="63">
        <f>'Local multi year dist'!BW10</f>
        <v>644.72138373664859</v>
      </c>
      <c r="BF10" s="63"/>
      <c r="BG10" s="63"/>
      <c r="BH10" s="63"/>
      <c r="BI10" s="63"/>
      <c r="BJ10" s="63"/>
      <c r="BK10" s="63"/>
      <c r="BL10" s="63"/>
      <c r="BM10" s="63"/>
      <c r="BN10" s="63"/>
      <c r="BO10" s="63"/>
      <c r="BP10" s="63"/>
      <c r="BQ10" s="63"/>
    </row>
    <row r="11" spans="1:69" x14ac:dyDescent="0.25">
      <c r="A11" t="str">
        <f>'Local multi year dist'!S11</f>
        <v>Arlington County</v>
      </c>
      <c r="B11" s="63">
        <f>'Local multi year dist'!T11</f>
        <v>56034.300906169519</v>
      </c>
      <c r="C11" s="63">
        <f>'Local multi year dist'!U11</f>
        <v>354727.6740492942</v>
      </c>
      <c r="D11" s="63">
        <f>'Local multi year dist'!V11</f>
        <v>437469.98976105644</v>
      </c>
      <c r="E11" s="63">
        <f>'Local multi year dist'!W11</f>
        <v>167768.77260181846</v>
      </c>
      <c r="F11" s="63">
        <f>'Local multi year dist'!X11</f>
        <v>180278.38798345078</v>
      </c>
      <c r="G11" s="63">
        <f>'Local multi year dist'!Y11</f>
        <v>191592.91183891075</v>
      </c>
      <c r="H11" s="63">
        <f>'Local multi year dist'!Z11</f>
        <v>145967.45909915198</v>
      </c>
      <c r="I11" s="63">
        <f>'Local multi year dist'!AA11</f>
        <v>204574.45722003907</v>
      </c>
      <c r="J11" s="63">
        <f>'Local multi year dist'!AB11</f>
        <v>205505.25780614442</v>
      </c>
      <c r="K11" s="63">
        <f>'Local multi year dist'!AC11</f>
        <v>192413.1179587864</v>
      </c>
      <c r="L11" s="63">
        <f>'Local multi year dist'!AD11</f>
        <v>178560.55158906509</v>
      </c>
      <c r="M11" s="63">
        <f>'Local multi year dist'!AE11</f>
        <v>164155.18370057779</v>
      </c>
      <c r="N11" s="63">
        <f>'Local multi year dist'!AF11</f>
        <v>125274.39682890546</v>
      </c>
      <c r="O11" s="63">
        <f>'Local multi year dist'!AG11</f>
        <v>125274.39682890546</v>
      </c>
      <c r="P11" s="63">
        <f>'Local multi year dist'!AH11</f>
        <v>125274.39682890546</v>
      </c>
      <c r="Q11" s="63">
        <f>'Local multi year dist'!AI11</f>
        <v>104084.84439986301</v>
      </c>
      <c r="R11" s="63">
        <f>'Local multi year dist'!AJ11</f>
        <v>104084.84439986301</v>
      </c>
      <c r="S11" s="63">
        <f>'Local multi year dist'!AK11</f>
        <v>72871.584425626948</v>
      </c>
      <c r="T11" s="63"/>
      <c r="U11" s="63">
        <f>'Local multi year dist'!AM11</f>
        <v>0</v>
      </c>
      <c r="V11" s="63">
        <f>'Local multi year dist'!AN11</f>
        <v>128359.08999496131</v>
      </c>
      <c r="W11" s="63">
        <f>'Local multi year dist'!AO11</f>
        <v>148582.2502511651</v>
      </c>
      <c r="X11" s="63">
        <f>'Local multi year dist'!AP11</f>
        <v>57860.035563558209</v>
      </c>
      <c r="Y11" s="63">
        <f>'Local multi year dist'!AQ11</f>
        <v>63481.59233028665</v>
      </c>
      <c r="Z11" s="63">
        <f>'Local multi year dist'!AR11</f>
        <v>67630.251077288645</v>
      </c>
      <c r="AA11" s="63">
        <f>'Local multi year dist'!AS11</f>
        <v>50900.918406043755</v>
      </c>
      <c r="AB11" s="63">
        <f>'Local multi year dist'!AT11</f>
        <v>72390.151050369022</v>
      </c>
      <c r="AC11" s="63">
        <f>'Local multi year dist'!AU11</f>
        <v>72824.622952495192</v>
      </c>
      <c r="AD11" s="63">
        <f>'Local multi year dist'!AV11</f>
        <v>67728.301186589029</v>
      </c>
      <c r="AE11" s="63">
        <f>'Local multi year dist'!AW11</f>
        <v>62650.505636196409</v>
      </c>
      <c r="AF11" s="63">
        <f>'Local multi year dist'!AX11</f>
        <v>57368.537410417724</v>
      </c>
      <c r="AG11" s="63">
        <f>'Local multi year dist'!AY11</f>
        <v>44789.459304876684</v>
      </c>
      <c r="AH11" s="63">
        <f>'Local multi year dist'!AZ11</f>
        <v>44789.459304876684</v>
      </c>
      <c r="AI11" s="63">
        <f>'Local multi year dist'!BA11</f>
        <v>44789.459304876684</v>
      </c>
      <c r="AJ11" s="63">
        <f>'Local multi year dist'!BB11</f>
        <v>37019.956747561118</v>
      </c>
      <c r="AK11" s="63">
        <f>'Local multi year dist'!BC11</f>
        <v>37019.956747561118</v>
      </c>
      <c r="AL11" s="63">
        <f>'Local multi year dist'!BD11</f>
        <v>26719.580956063211</v>
      </c>
      <c r="AN11" s="63">
        <f>'Local multi year dist'!BF11</f>
        <v>0</v>
      </c>
      <c r="AO11" s="63">
        <f>'Local multi year dist'!BG11</f>
        <v>32089.772498740327</v>
      </c>
      <c r="AP11" s="63">
        <f>'Local multi year dist'!BH11</f>
        <v>37145.562562791274</v>
      </c>
      <c r="AQ11" s="63">
        <f>'Local multi year dist'!BI11</f>
        <v>14465.008890889552</v>
      </c>
      <c r="AR11" s="63">
        <f>'Local multi year dist'!BJ11</f>
        <v>15870.398082571663</v>
      </c>
      <c r="AS11" s="63">
        <f>'Local multi year dist'!BK11</f>
        <v>16907.562769322161</v>
      </c>
      <c r="AT11" s="63">
        <f>'Local multi year dist'!BL11</f>
        <v>12725.229601510939</v>
      </c>
      <c r="AU11" s="63">
        <f>'Local multi year dist'!BM11</f>
        <v>18097.537762592256</v>
      </c>
      <c r="AV11" s="63">
        <f>'Local multi year dist'!BN11</f>
        <v>18206.155738123798</v>
      </c>
      <c r="AW11" s="63">
        <f>'Local multi year dist'!BO11</f>
        <v>16932.075296647257</v>
      </c>
      <c r="AX11" s="63">
        <f>'Local multi year dist'!BP11</f>
        <v>15662.626409049102</v>
      </c>
      <c r="AY11" s="63">
        <f>'Local multi year dist'!BQ11</f>
        <v>14342.134352604431</v>
      </c>
      <c r="AZ11" s="63">
        <f>'Local multi year dist'!BR11</f>
        <v>11197.364826219171</v>
      </c>
      <c r="BA11" s="63">
        <f>'Local multi year dist'!BS11</f>
        <v>11197.364826219171</v>
      </c>
      <c r="BB11" s="63">
        <f>'Local multi year dist'!BT11</f>
        <v>11197.364826219171</v>
      </c>
      <c r="BC11" s="63">
        <f>'Local multi year dist'!BU11</f>
        <v>9254.9891868902796</v>
      </c>
      <c r="BD11" s="63">
        <f>'Local multi year dist'!BV11</f>
        <v>9254.9891868902796</v>
      </c>
      <c r="BE11" s="63">
        <f>'Local multi year dist'!BW11</f>
        <v>6679.8952390158029</v>
      </c>
      <c r="BF11" s="63"/>
      <c r="BG11" s="63"/>
      <c r="BH11" s="63"/>
      <c r="BI11" s="63"/>
      <c r="BJ11" s="63"/>
      <c r="BK11" s="63"/>
      <c r="BL11" s="63"/>
      <c r="BM11" s="63"/>
      <c r="BN11" s="63"/>
      <c r="BO11" s="63"/>
      <c r="BP11" s="63"/>
      <c r="BQ11" s="63"/>
    </row>
    <row r="12" spans="1:69" x14ac:dyDescent="0.25">
      <c r="A12" t="str">
        <f>'Local multi year dist'!S12</f>
        <v>Augusta County</v>
      </c>
      <c r="B12" s="63">
        <f>'Local multi year dist'!T12</f>
        <v>33954.021231242099</v>
      </c>
      <c r="C12" s="63">
        <f>'Local multi year dist'!U12</f>
        <v>214947.46577007329</v>
      </c>
      <c r="D12" s="63">
        <f>'Local multi year dist'!V12</f>
        <v>265085.22601631534</v>
      </c>
      <c r="E12" s="63">
        <f>'Local multi year dist'!W12</f>
        <v>101659.5973312907</v>
      </c>
      <c r="F12" s="63">
        <f>'Local multi year dist'!X12</f>
        <v>109239.80694207661</v>
      </c>
      <c r="G12" s="63">
        <f>'Local multi year dist'!Y12</f>
        <v>116095.85006203967</v>
      </c>
      <c r="H12" s="63">
        <f>'Local multi year dist'!Z12</f>
        <v>88449.077175465922</v>
      </c>
      <c r="I12" s="63">
        <f>'Local multi year dist'!AA12</f>
        <v>123962.02596424732</v>
      </c>
      <c r="J12" s="63">
        <f>'Local multi year dist'!AB12</f>
        <v>124526.04518732279</v>
      </c>
      <c r="K12" s="63">
        <f>'Local multi year dist'!AC12</f>
        <v>116592.85449607173</v>
      </c>
      <c r="L12" s="63">
        <f>'Local multi year dist'!AD12</f>
        <v>108198.8828569445</v>
      </c>
      <c r="M12" s="63">
        <f>'Local multi year dist'!AE12</f>
        <v>99469.94077647505</v>
      </c>
      <c r="N12" s="63">
        <f>'Local multi year dist'!AF12</f>
        <v>75910.102577747588</v>
      </c>
      <c r="O12" s="63">
        <f>'Local multi year dist'!AG12</f>
        <v>75910.102577747588</v>
      </c>
      <c r="P12" s="63">
        <f>'Local multi year dist'!AH12</f>
        <v>75910.102577747588</v>
      </c>
      <c r="Q12" s="63">
        <f>'Local multi year dist'!AI12</f>
        <v>63070.279444038984</v>
      </c>
      <c r="R12" s="63">
        <f>'Local multi year dist'!AJ12</f>
        <v>63070.279444038984</v>
      </c>
      <c r="S12" s="63">
        <f>'Local multi year dist'!AK12</f>
        <v>44156.584176631768</v>
      </c>
      <c r="T12" s="63"/>
      <c r="U12" s="63">
        <f>'Local multi year dist'!AM12</f>
        <v>0</v>
      </c>
      <c r="V12" s="63">
        <f>'Local multi year dist'!AN12</f>
        <v>77779.274416395376</v>
      </c>
      <c r="W12" s="63">
        <f>'Local multi year dist'!AO12</f>
        <v>90033.511581801897</v>
      </c>
      <c r="X12" s="63">
        <f>'Local multi year dist'!AP12</f>
        <v>35060.326339311439</v>
      </c>
      <c r="Y12" s="63">
        <f>'Local multi year dist'!AQ12</f>
        <v>38466.712333664313</v>
      </c>
      <c r="Z12" s="63">
        <f>'Local multi year dist'!AR12</f>
        <v>40980.594810984097</v>
      </c>
      <c r="AA12" s="63">
        <f>'Local multi year dist'!AS12</f>
        <v>30843.44475257372</v>
      </c>
      <c r="AB12" s="63">
        <f>'Local multi year dist'!AT12</f>
        <v>43864.85930846024</v>
      </c>
      <c r="AC12" s="63">
        <f>'Local multi year dist'!AU12</f>
        <v>44128.127841316084</v>
      </c>
      <c r="AD12" s="63">
        <f>'Local multi year dist'!AV12</f>
        <v>41040.008338753199</v>
      </c>
      <c r="AE12" s="63">
        <f>'Local multi year dist'!AW12</f>
        <v>37963.114808580598</v>
      </c>
      <c r="AF12" s="63">
        <f>'Local multi year dist'!AX12</f>
        <v>34762.502712408459</v>
      </c>
      <c r="AG12" s="63">
        <f>'Local multi year dist'!AY12</f>
        <v>27140.20211870252</v>
      </c>
      <c r="AH12" s="63">
        <f>'Local multi year dist'!AZ12</f>
        <v>27140.20211870252</v>
      </c>
      <c r="AI12" s="63">
        <f>'Local multi year dist'!BA12</f>
        <v>27140.20211870252</v>
      </c>
      <c r="AJ12" s="63">
        <f>'Local multi year dist'!BB12</f>
        <v>22432.266969676031</v>
      </c>
      <c r="AK12" s="63">
        <f>'Local multi year dist'!BC12</f>
        <v>22432.266969676031</v>
      </c>
      <c r="AL12" s="63">
        <f>'Local multi year dist'!BD12</f>
        <v>16190.747531431647</v>
      </c>
      <c r="AN12" s="63">
        <f>'Local multi year dist'!BF12</f>
        <v>0</v>
      </c>
      <c r="AO12" s="63">
        <f>'Local multi year dist'!BG12</f>
        <v>19444.818604098844</v>
      </c>
      <c r="AP12" s="63">
        <f>'Local multi year dist'!BH12</f>
        <v>22508.377895450474</v>
      </c>
      <c r="AQ12" s="63">
        <f>'Local multi year dist'!BI12</f>
        <v>8765.0815848278598</v>
      </c>
      <c r="AR12" s="63">
        <f>'Local multi year dist'!BJ12</f>
        <v>9616.6780834160782</v>
      </c>
      <c r="AS12" s="63">
        <f>'Local multi year dist'!BK12</f>
        <v>10245.148702746024</v>
      </c>
      <c r="AT12" s="63">
        <f>'Local multi year dist'!BL12</f>
        <v>7710.8611881434299</v>
      </c>
      <c r="AU12" s="63">
        <f>'Local multi year dist'!BM12</f>
        <v>10966.21482711506</v>
      </c>
      <c r="AV12" s="63">
        <f>'Local multi year dist'!BN12</f>
        <v>11032.031960329021</v>
      </c>
      <c r="AW12" s="63">
        <f>'Local multi year dist'!BO12</f>
        <v>10260.0020846883</v>
      </c>
      <c r="AX12" s="63">
        <f>'Local multi year dist'!BP12</f>
        <v>9490.7787021451495</v>
      </c>
      <c r="AY12" s="63">
        <f>'Local multi year dist'!BQ12</f>
        <v>8690.6256781021148</v>
      </c>
      <c r="AZ12" s="63">
        <f>'Local multi year dist'!BR12</f>
        <v>6785.0505296756301</v>
      </c>
      <c r="BA12" s="63">
        <f>'Local multi year dist'!BS12</f>
        <v>6785.0505296756301</v>
      </c>
      <c r="BB12" s="63">
        <f>'Local multi year dist'!BT12</f>
        <v>6785.0505296756301</v>
      </c>
      <c r="BC12" s="63">
        <f>'Local multi year dist'!BU12</f>
        <v>5608.0667424190078</v>
      </c>
      <c r="BD12" s="63">
        <f>'Local multi year dist'!BV12</f>
        <v>5608.0667424190078</v>
      </c>
      <c r="BE12" s="63">
        <f>'Local multi year dist'!BW12</f>
        <v>4047.6868828579118</v>
      </c>
      <c r="BF12" s="63"/>
      <c r="BG12" s="63"/>
      <c r="BH12" s="63"/>
      <c r="BI12" s="63"/>
      <c r="BJ12" s="63"/>
      <c r="BK12" s="63"/>
      <c r="BL12" s="63"/>
      <c r="BM12" s="63"/>
      <c r="BN12" s="63"/>
      <c r="BO12" s="63"/>
      <c r="BP12" s="63"/>
      <c r="BQ12" s="63"/>
    </row>
    <row r="13" spans="1:69" x14ac:dyDescent="0.25">
      <c r="A13" t="str">
        <f>'Local multi year dist'!S13</f>
        <v>Bath County</v>
      </c>
      <c r="B13" s="63">
        <f>'Local multi year dist'!T13</f>
        <v>1504.549443779588</v>
      </c>
      <c r="C13" s="63">
        <f>'Local multi year dist'!U13</f>
        <v>9524.6182437038351</v>
      </c>
      <c r="D13" s="63">
        <f>'Local multi year dist'!V13</f>
        <v>11746.291452219946</v>
      </c>
      <c r="E13" s="63">
        <f>'Local multi year dist'!W13</f>
        <v>4504.6767679733548</v>
      </c>
      <c r="F13" s="63">
        <f>'Local multi year dist'!X13</f>
        <v>4840.5662956369215</v>
      </c>
      <c r="G13" s="63">
        <f>'Local multi year dist'!Y13</f>
        <v>5144.3670087370801</v>
      </c>
      <c r="H13" s="63">
        <f>'Local multi year dist'!Z13</f>
        <v>3919.300425739204</v>
      </c>
      <c r="I13" s="63">
        <f>'Local multi year dist'!AA13</f>
        <v>5492.9280966193355</v>
      </c>
      <c r="J13" s="63">
        <f>'Local multi year dist'!AB13</f>
        <v>5517.9205651867514</v>
      </c>
      <c r="K13" s="63">
        <f>'Local multi year dist'!AC13</f>
        <v>5166.3899597061654</v>
      </c>
      <c r="L13" s="63">
        <f>'Local multi year dist'!AD13</f>
        <v>4794.4415158166967</v>
      </c>
      <c r="M13" s="63">
        <f>'Local multi year dist'!AE13</f>
        <v>4407.6500703348174</v>
      </c>
      <c r="N13" s="63">
        <f>'Local multi year dist'!AF13</f>
        <v>3363.6811920678533</v>
      </c>
      <c r="O13" s="63">
        <f>'Local multi year dist'!AG13</f>
        <v>3363.6811920678533</v>
      </c>
      <c r="P13" s="63">
        <f>'Local multi year dist'!AH13</f>
        <v>3363.6811920678533</v>
      </c>
      <c r="Q13" s="63">
        <f>'Local multi year dist'!AI13</f>
        <v>2794.7309454244783</v>
      </c>
      <c r="R13" s="63">
        <f>'Local multi year dist'!AJ13</f>
        <v>2794.7309454244783</v>
      </c>
      <c r="S13" s="63">
        <f>'Local multi year dist'!AK13</f>
        <v>1956.6390593238002</v>
      </c>
      <c r="T13" s="63"/>
      <c r="U13" s="63">
        <f>'Local multi year dist'!AM13</f>
        <v>0</v>
      </c>
      <c r="V13" s="63">
        <f>'Local multi year dist'!AN13</f>
        <v>3446.5067705468564</v>
      </c>
      <c r="W13" s="63">
        <f>'Local multi year dist'!AO13</f>
        <v>3989.5088964391207</v>
      </c>
      <c r="X13" s="63">
        <f>'Local multi year dist'!AP13</f>
        <v>1553.5713467718822</v>
      </c>
      <c r="Y13" s="63">
        <f>'Local multi year dist'!AQ13</f>
        <v>1704.5130016114704</v>
      </c>
      <c r="Z13" s="63">
        <f>'Local multi year dist'!AR13</f>
        <v>1815.9065964148617</v>
      </c>
      <c r="AA13" s="63">
        <f>'Local multi year dist'!AS13</f>
        <v>1366.7155159823069</v>
      </c>
      <c r="AB13" s="63">
        <f>'Local multi year dist'!AT13</f>
        <v>1943.7123286383553</v>
      </c>
      <c r="AC13" s="63">
        <f>'Local multi year dist'!AU13</f>
        <v>1955.3781199146024</v>
      </c>
      <c r="AD13" s="63">
        <f>'Local multi year dist'!AV13</f>
        <v>1818.5392916573251</v>
      </c>
      <c r="AE13" s="63">
        <f>'Local multi year dist'!AW13</f>
        <v>1682.1979016975813</v>
      </c>
      <c r="AF13" s="63">
        <f>'Local multi year dist'!AX13</f>
        <v>1540.3743716875586</v>
      </c>
      <c r="AG13" s="63">
        <f>'Local multi year dist'!AY13</f>
        <v>1202.6197346011879</v>
      </c>
      <c r="AH13" s="63">
        <f>'Local multi year dist'!AZ13</f>
        <v>1202.6197346011879</v>
      </c>
      <c r="AI13" s="63">
        <f>'Local multi year dist'!BA13</f>
        <v>1202.6197346011879</v>
      </c>
      <c r="AJ13" s="63">
        <f>'Local multi year dist'!BB13</f>
        <v>994.00464416528393</v>
      </c>
      <c r="AK13" s="63">
        <f>'Local multi year dist'!BC13</f>
        <v>994.00464416528393</v>
      </c>
      <c r="AL13" s="63">
        <f>'Local multi year dist'!BD13</f>
        <v>717.4343217520601</v>
      </c>
      <c r="AN13" s="63">
        <f>'Local multi year dist'!BF13</f>
        <v>0</v>
      </c>
      <c r="AO13" s="63">
        <f>'Local multi year dist'!BG13</f>
        <v>861.6266926367141</v>
      </c>
      <c r="AP13" s="63">
        <f>'Local multi year dist'!BH13</f>
        <v>997.37722410978017</v>
      </c>
      <c r="AQ13" s="63">
        <f>'Local multi year dist'!BI13</f>
        <v>388.39283669297055</v>
      </c>
      <c r="AR13" s="63">
        <f>'Local multi year dist'!BJ13</f>
        <v>426.12825040286759</v>
      </c>
      <c r="AS13" s="63">
        <f>'Local multi year dist'!BK13</f>
        <v>453.97664910371543</v>
      </c>
      <c r="AT13" s="63">
        <f>'Local multi year dist'!BL13</f>
        <v>341.67887899557672</v>
      </c>
      <c r="AU13" s="63">
        <f>'Local multi year dist'!BM13</f>
        <v>485.92808215958883</v>
      </c>
      <c r="AV13" s="63">
        <f>'Local multi year dist'!BN13</f>
        <v>488.8445299786506</v>
      </c>
      <c r="AW13" s="63">
        <f>'Local multi year dist'!BO13</f>
        <v>454.63482291433127</v>
      </c>
      <c r="AX13" s="63">
        <f>'Local multi year dist'!BP13</f>
        <v>420.54947542439533</v>
      </c>
      <c r="AY13" s="63">
        <f>'Local multi year dist'!BQ13</f>
        <v>385.09359292188964</v>
      </c>
      <c r="AZ13" s="63">
        <f>'Local multi year dist'!BR13</f>
        <v>300.65493365029698</v>
      </c>
      <c r="BA13" s="63">
        <f>'Local multi year dist'!BS13</f>
        <v>300.65493365029698</v>
      </c>
      <c r="BB13" s="63">
        <f>'Local multi year dist'!BT13</f>
        <v>300.65493365029698</v>
      </c>
      <c r="BC13" s="63">
        <f>'Local multi year dist'!BU13</f>
        <v>248.50116104132098</v>
      </c>
      <c r="BD13" s="63">
        <f>'Local multi year dist'!BV13</f>
        <v>248.50116104132098</v>
      </c>
      <c r="BE13" s="63">
        <f>'Local multi year dist'!BW13</f>
        <v>179.35858043801503</v>
      </c>
      <c r="BF13" s="63"/>
      <c r="BG13" s="63"/>
      <c r="BH13" s="63"/>
      <c r="BI13" s="63"/>
      <c r="BJ13" s="63"/>
      <c r="BK13" s="63"/>
      <c r="BL13" s="63"/>
      <c r="BM13" s="63"/>
      <c r="BN13" s="63"/>
      <c r="BO13" s="63"/>
      <c r="BP13" s="63"/>
      <c r="BQ13" s="63"/>
    </row>
    <row r="14" spans="1:69" x14ac:dyDescent="0.25">
      <c r="A14" t="str">
        <f>'Local multi year dist'!S14</f>
        <v>Bedford County</v>
      </c>
      <c r="B14" s="63">
        <f>'Local multi year dist'!T14</f>
        <v>31595.538319371386</v>
      </c>
      <c r="C14" s="63">
        <f>'Local multi year dist'!U14</f>
        <v>200016.98311778079</v>
      </c>
      <c r="D14" s="63">
        <f>'Local multi year dist'!V14</f>
        <v>246672.1204966192</v>
      </c>
      <c r="E14" s="63">
        <f>'Local multi year dist'!W14</f>
        <v>94598.212127440565</v>
      </c>
      <c r="F14" s="63">
        <f>'Local multi year dist'!X14</f>
        <v>101651.89220837549</v>
      </c>
      <c r="G14" s="63">
        <f>'Local multi year dist'!Y14</f>
        <v>108031.70718347882</v>
      </c>
      <c r="H14" s="63">
        <f>'Local multi year dist'!Z14</f>
        <v>82305.308940523391</v>
      </c>
      <c r="I14" s="63">
        <f>'Local multi year dist'!AA14</f>
        <v>115351.49002900621</v>
      </c>
      <c r="J14" s="63">
        <f>'Local multi year dist'!AB14</f>
        <v>115876.33186892193</v>
      </c>
      <c r="K14" s="63">
        <f>'Local multi year dist'!AC14</f>
        <v>108494.18915382962</v>
      </c>
      <c r="L14" s="63">
        <f>'Local multi year dist'!AD14</f>
        <v>100683.27183215076</v>
      </c>
      <c r="M14" s="63">
        <f>'Local multi year dist'!AE14</f>
        <v>92560.651477031279</v>
      </c>
      <c r="N14" s="63">
        <f>'Local multi year dist'!AF14</f>
        <v>70637.305033425015</v>
      </c>
      <c r="O14" s="63">
        <f>'Local multi year dist'!AG14</f>
        <v>70637.305033425015</v>
      </c>
      <c r="P14" s="63">
        <f>'Local multi year dist'!AH14</f>
        <v>70637.305033425015</v>
      </c>
      <c r="Q14" s="63">
        <f>'Local multi year dist'!AI14</f>
        <v>58689.349853914122</v>
      </c>
      <c r="R14" s="63">
        <f>'Local multi year dist'!AJ14</f>
        <v>58689.349853914122</v>
      </c>
      <c r="S14" s="63">
        <f>'Local multi year dist'!AK14</f>
        <v>41089.420245799862</v>
      </c>
      <c r="T14" s="63"/>
      <c r="U14" s="63">
        <f>'Local multi year dist'!AM14</f>
        <v>0</v>
      </c>
      <c r="V14" s="63">
        <f>'Local multi year dist'!AN14</f>
        <v>72376.642181484087</v>
      </c>
      <c r="W14" s="63">
        <f>'Local multi year dist'!AO14</f>
        <v>83779.686825221652</v>
      </c>
      <c r="X14" s="63">
        <f>'Local multi year dist'!AP14</f>
        <v>32624.998282209566</v>
      </c>
      <c r="Y14" s="63">
        <f>'Local multi year dist'!AQ14</f>
        <v>35794.773033840924</v>
      </c>
      <c r="Z14" s="63">
        <f>'Local multi year dist'!AR14</f>
        <v>38134.038524712145</v>
      </c>
      <c r="AA14" s="63">
        <f>'Local multi year dist'!AS14</f>
        <v>28701.025835628479</v>
      </c>
      <c r="AB14" s="63">
        <f>'Local multi year dist'!AT14</f>
        <v>40817.958901405516</v>
      </c>
      <c r="AC14" s="63">
        <f>'Local multi year dist'!AU14</f>
        <v>41062.940518206706</v>
      </c>
      <c r="AD14" s="63">
        <f>'Local multi year dist'!AV14</f>
        <v>38189.32512480388</v>
      </c>
      <c r="AE14" s="63">
        <f>'Local multi year dist'!AW14</f>
        <v>35326.155935649251</v>
      </c>
      <c r="AF14" s="63">
        <f>'Local multi year dist'!AX14</f>
        <v>32347.86180543877</v>
      </c>
      <c r="AG14" s="63">
        <f>'Local multi year dist'!AY14</f>
        <v>25255.014426624981</v>
      </c>
      <c r="AH14" s="63">
        <f>'Local multi year dist'!AZ14</f>
        <v>25255.014426624981</v>
      </c>
      <c r="AI14" s="63">
        <f>'Local multi year dist'!BA14</f>
        <v>25255.014426624981</v>
      </c>
      <c r="AJ14" s="63">
        <f>'Local multi year dist'!BB14</f>
        <v>20874.097527470989</v>
      </c>
      <c r="AK14" s="63">
        <f>'Local multi year dist'!BC14</f>
        <v>20874.097527470989</v>
      </c>
      <c r="AL14" s="63">
        <f>'Local multi year dist'!BD14</f>
        <v>15066.120756793282</v>
      </c>
      <c r="AN14" s="63">
        <f>'Local multi year dist'!BF14</f>
        <v>0</v>
      </c>
      <c r="AO14" s="63">
        <f>'Local multi year dist'!BG14</f>
        <v>18094.160545371022</v>
      </c>
      <c r="AP14" s="63">
        <f>'Local multi year dist'!BH14</f>
        <v>20944.921706305413</v>
      </c>
      <c r="AQ14" s="63">
        <f>'Local multi year dist'!BI14</f>
        <v>8156.2495705523916</v>
      </c>
      <c r="AR14" s="63">
        <f>'Local multi year dist'!BJ14</f>
        <v>8948.6932584602309</v>
      </c>
      <c r="AS14" s="63">
        <f>'Local multi year dist'!BK14</f>
        <v>9533.5096311780362</v>
      </c>
      <c r="AT14" s="63">
        <f>'Local multi year dist'!BL14</f>
        <v>7175.2564589071198</v>
      </c>
      <c r="AU14" s="63">
        <f>'Local multi year dist'!BM14</f>
        <v>10204.489725351379</v>
      </c>
      <c r="AV14" s="63">
        <f>'Local multi year dist'!BN14</f>
        <v>10265.735129551676</v>
      </c>
      <c r="AW14" s="63">
        <f>'Local multi year dist'!BO14</f>
        <v>9547.3312812009699</v>
      </c>
      <c r="AX14" s="63">
        <f>'Local multi year dist'!BP14</f>
        <v>8831.5389839123127</v>
      </c>
      <c r="AY14" s="63">
        <f>'Local multi year dist'!BQ14</f>
        <v>8086.9654513596925</v>
      </c>
      <c r="AZ14" s="63">
        <f>'Local multi year dist'!BR14</f>
        <v>6313.7536066562452</v>
      </c>
      <c r="BA14" s="63">
        <f>'Local multi year dist'!BS14</f>
        <v>6313.7536066562452</v>
      </c>
      <c r="BB14" s="63">
        <f>'Local multi year dist'!BT14</f>
        <v>6313.7536066562452</v>
      </c>
      <c r="BC14" s="63">
        <f>'Local multi year dist'!BU14</f>
        <v>5218.5243818677473</v>
      </c>
      <c r="BD14" s="63">
        <f>'Local multi year dist'!BV14</f>
        <v>5218.5243818677473</v>
      </c>
      <c r="BE14" s="63">
        <f>'Local multi year dist'!BW14</f>
        <v>3766.5301891983204</v>
      </c>
      <c r="BF14" s="63"/>
      <c r="BG14" s="63"/>
      <c r="BH14" s="63"/>
      <c r="BI14" s="63"/>
      <c r="BJ14" s="63"/>
      <c r="BK14" s="63"/>
      <c r="BL14" s="63"/>
      <c r="BM14" s="63"/>
      <c r="BN14" s="63"/>
      <c r="BO14" s="63"/>
      <c r="BP14" s="63"/>
      <c r="BQ14" s="63"/>
    </row>
    <row r="15" spans="1:69" x14ac:dyDescent="0.25">
      <c r="A15" t="str">
        <f>'Local multi year dist'!S15</f>
        <v>Bland County</v>
      </c>
      <c r="B15" s="63">
        <f>'Local multi year dist'!T15</f>
        <v>5977.5342766378226</v>
      </c>
      <c r="C15" s="63">
        <f>'Local multi year dist'!U15</f>
        <v>37841.050860120646</v>
      </c>
      <c r="D15" s="63">
        <f>'Local multi year dist'!V15</f>
        <v>46667.698472333308</v>
      </c>
      <c r="E15" s="63">
        <f>'Local multi year dist'!W15</f>
        <v>17896.959051137383</v>
      </c>
      <c r="F15" s="63">
        <f>'Local multi year dist'!X15</f>
        <v>19231.439066449395</v>
      </c>
      <c r="G15" s="63">
        <f>'Local multi year dist'!Y15</f>
        <v>20438.43108876624</v>
      </c>
      <c r="H15" s="63">
        <f>'Local multi year dist'!Z15</f>
        <v>15571.274664423325</v>
      </c>
      <c r="I15" s="63">
        <f>'Local multi year dist'!AA15</f>
        <v>21823.254870352499</v>
      </c>
      <c r="J15" s="63">
        <f>'Local multi year dist'!AB15</f>
        <v>21922.549272498716</v>
      </c>
      <c r="K15" s="63">
        <f>'Local multi year dist'!AC15</f>
        <v>20525.927677751522</v>
      </c>
      <c r="L15" s="63">
        <f>'Local multi year dist'!AD15</f>
        <v>19048.18656283931</v>
      </c>
      <c r="M15" s="63">
        <f>'Local multi year dist'!AE15</f>
        <v>17511.474603762654</v>
      </c>
      <c r="N15" s="63">
        <f>'Local multi year dist'!AF15</f>
        <v>13363.814465783093</v>
      </c>
      <c r="O15" s="63">
        <f>'Local multi year dist'!AG15</f>
        <v>13363.814465783093</v>
      </c>
      <c r="P15" s="63">
        <f>'Local multi year dist'!AH15</f>
        <v>13363.814465783093</v>
      </c>
      <c r="Q15" s="63">
        <f>'Local multi year dist'!AI15</f>
        <v>11103.390512902657</v>
      </c>
      <c r="R15" s="63">
        <f>'Local multi year dist'!AJ15</f>
        <v>11103.390512902657</v>
      </c>
      <c r="S15" s="63">
        <f>'Local multi year dist'!AK15</f>
        <v>7773.674100556721</v>
      </c>
      <c r="T15" s="63"/>
      <c r="U15" s="63">
        <f>'Local multi year dist'!AM15</f>
        <v>0</v>
      </c>
      <c r="V15" s="63">
        <f>'Local multi year dist'!AN15</f>
        <v>13692.878250551026</v>
      </c>
      <c r="W15" s="63">
        <f>'Local multi year dist'!AO15</f>
        <v>15850.211020987859</v>
      </c>
      <c r="X15" s="63">
        <f>'Local multi year dist'!AP15</f>
        <v>6172.2969723099104</v>
      </c>
      <c r="Y15" s="63">
        <f>'Local multi year dist'!AQ15</f>
        <v>6771.984087483409</v>
      </c>
      <c r="Z15" s="63">
        <f>'Local multi year dist'!AR15</f>
        <v>7214.5478289995863</v>
      </c>
      <c r="AA15" s="63">
        <f>'Local multi year dist'!AS15</f>
        <v>5429.9238067405167</v>
      </c>
      <c r="AB15" s="63">
        <f>'Local multi year dist'!AT15</f>
        <v>7722.3165489145476</v>
      </c>
      <c r="AC15" s="63">
        <f>'Local multi year dist'!AU15</f>
        <v>7768.6644223634212</v>
      </c>
      <c r="AD15" s="63">
        <f>'Local multi year dist'!AV15</f>
        <v>7225.007456043968</v>
      </c>
      <c r="AE15" s="63">
        <f>'Local multi year dist'!AW15</f>
        <v>6683.3267986363362</v>
      </c>
      <c r="AF15" s="63">
        <f>'Local multi year dist'!AX15</f>
        <v>6119.865746974895</v>
      </c>
      <c r="AG15" s="63">
        <f>'Local multi year dist'!AY15</f>
        <v>4777.97570233445</v>
      </c>
      <c r="AH15" s="63">
        <f>'Local multi year dist'!AZ15</f>
        <v>4777.97570233445</v>
      </c>
      <c r="AI15" s="63">
        <f>'Local multi year dist'!BA15</f>
        <v>4777.97570233445</v>
      </c>
      <c r="AJ15" s="63">
        <f>'Local multi year dist'!BB15</f>
        <v>3949.1535862782907</v>
      </c>
      <c r="AK15" s="63">
        <f>'Local multi year dist'!BC15</f>
        <v>3949.1535862782907</v>
      </c>
      <c r="AL15" s="63">
        <f>'Local multi year dist'!BD15</f>
        <v>2850.3471702041306</v>
      </c>
      <c r="AN15" s="63">
        <f>'Local multi year dist'!BF15</f>
        <v>0</v>
      </c>
      <c r="AO15" s="63">
        <f>'Local multi year dist'!BG15</f>
        <v>3423.2195626377566</v>
      </c>
      <c r="AP15" s="63">
        <f>'Local multi year dist'!BH15</f>
        <v>3962.5527552469648</v>
      </c>
      <c r="AQ15" s="63">
        <f>'Local multi year dist'!BI15</f>
        <v>1543.0742430774776</v>
      </c>
      <c r="AR15" s="63">
        <f>'Local multi year dist'!BJ15</f>
        <v>1692.9960218708522</v>
      </c>
      <c r="AS15" s="63">
        <f>'Local multi year dist'!BK15</f>
        <v>1803.6369572498966</v>
      </c>
      <c r="AT15" s="63">
        <f>'Local multi year dist'!BL15</f>
        <v>1357.4809516851292</v>
      </c>
      <c r="AU15" s="63">
        <f>'Local multi year dist'!BM15</f>
        <v>1930.5791372286369</v>
      </c>
      <c r="AV15" s="63">
        <f>'Local multi year dist'!BN15</f>
        <v>1942.1661055908553</v>
      </c>
      <c r="AW15" s="63">
        <f>'Local multi year dist'!BO15</f>
        <v>1806.251864010992</v>
      </c>
      <c r="AX15" s="63">
        <f>'Local multi year dist'!BP15</f>
        <v>1670.8316996590841</v>
      </c>
      <c r="AY15" s="63">
        <f>'Local multi year dist'!BQ15</f>
        <v>1529.9664367437238</v>
      </c>
      <c r="AZ15" s="63">
        <f>'Local multi year dist'!BR15</f>
        <v>1194.4939255836125</v>
      </c>
      <c r="BA15" s="63">
        <f>'Local multi year dist'!BS15</f>
        <v>1194.4939255836125</v>
      </c>
      <c r="BB15" s="63">
        <f>'Local multi year dist'!BT15</f>
        <v>1194.4939255836125</v>
      </c>
      <c r="BC15" s="63">
        <f>'Local multi year dist'!BU15</f>
        <v>987.28839656957268</v>
      </c>
      <c r="BD15" s="63">
        <f>'Local multi year dist'!BV15</f>
        <v>987.28839656957268</v>
      </c>
      <c r="BE15" s="63">
        <f>'Local multi year dist'!BW15</f>
        <v>712.58679255103266</v>
      </c>
      <c r="BF15" s="63"/>
      <c r="BG15" s="63"/>
      <c r="BH15" s="63"/>
      <c r="BI15" s="63"/>
      <c r="BJ15" s="63"/>
      <c r="BK15" s="63"/>
      <c r="BL15" s="63"/>
      <c r="BM15" s="63"/>
      <c r="BN15" s="63"/>
      <c r="BO15" s="63"/>
      <c r="BP15" s="63"/>
      <c r="BQ15" s="63"/>
    </row>
    <row r="16" spans="1:69" x14ac:dyDescent="0.25">
      <c r="A16" t="str">
        <f>'Local multi year dist'!S16</f>
        <v>Botetourt County</v>
      </c>
      <c r="B16" s="63">
        <f>'Local multi year dist'!T16</f>
        <v>14720.186449951645</v>
      </c>
      <c r="C16" s="63">
        <f>'Local multi year dist'!U16</f>
        <v>93186.805519480768</v>
      </c>
      <c r="D16" s="63">
        <f>'Local multi year dist'!V16</f>
        <v>114923.1758298276</v>
      </c>
      <c r="E16" s="63">
        <f>'Local multi year dist'!W16</f>
        <v>44072.783513685259</v>
      </c>
      <c r="F16" s="63">
        <f>'Local multi year dist'!X16</f>
        <v>47359.054027582861</v>
      </c>
      <c r="G16" s="63">
        <f>'Local multi year dist'!Y16</f>
        <v>50331.374517914141</v>
      </c>
      <c r="H16" s="63">
        <f>'Local multi year dist'!Z16</f>
        <v>38345.587949124107</v>
      </c>
      <c r="I16" s="63">
        <f>'Local multi year dist'!AA16</f>
        <v>53741.620837194583</v>
      </c>
      <c r="J16" s="63">
        <f>'Local multi year dist'!AB16</f>
        <v>53986.141745881192</v>
      </c>
      <c r="K16" s="63">
        <f>'Local multi year dist'!AC16</f>
        <v>50546.842308476538</v>
      </c>
      <c r="L16" s="63">
        <f>'Local multi year dist'!AD16</f>
        <v>46907.779154747142</v>
      </c>
      <c r="M16" s="63">
        <f>'Local multi year dist'!AE16</f>
        <v>43123.495282735239</v>
      </c>
      <c r="N16" s="63">
        <f>'Local multi year dist'!AF16</f>
        <v>32909.529500771969</v>
      </c>
      <c r="O16" s="63">
        <f>'Local multi year dist'!AG16</f>
        <v>32909.529500771969</v>
      </c>
      <c r="P16" s="63">
        <f>'Local multi year dist'!AH16</f>
        <v>32909.529500771969</v>
      </c>
      <c r="Q16" s="63">
        <f>'Local multi year dist'!AI16</f>
        <v>27343.043303882736</v>
      </c>
      <c r="R16" s="63">
        <f>'Local multi year dist'!AJ16</f>
        <v>27343.043303882736</v>
      </c>
      <c r="S16" s="63">
        <f>'Local multi year dist'!AK16</f>
        <v>19143.333499330154</v>
      </c>
      <c r="T16" s="63"/>
      <c r="U16" s="63">
        <f>'Local multi year dist'!AM16</f>
        <v>0</v>
      </c>
      <c r="V16" s="63">
        <f>'Local multi year dist'!AN16</f>
        <v>33719.877052377356</v>
      </c>
      <c r="W16" s="63">
        <f>'Local multi year dist'!AO16</f>
        <v>39032.492446242213</v>
      </c>
      <c r="X16" s="63">
        <f>'Local multi year dist'!AP16</f>
        <v>15199.806149497876</v>
      </c>
      <c r="Y16" s="63">
        <f>'Local multi year dist'!AQ16</f>
        <v>16676.586664414928</v>
      </c>
      <c r="Z16" s="63">
        <f>'Local multi year dist'!AR16</f>
        <v>17766.437510869731</v>
      </c>
      <c r="AA16" s="63">
        <f>'Local multi year dist'!AS16</f>
        <v>13371.64910231338</v>
      </c>
      <c r="AB16" s="63">
        <f>'Local multi year dist'!AT16</f>
        <v>19016.861161272558</v>
      </c>
      <c r="AC16" s="63">
        <f>'Local multi year dist'!AU16</f>
        <v>19130.996740786111</v>
      </c>
      <c r="AD16" s="63">
        <f>'Local multi year dist'!AV16</f>
        <v>17792.19523189059</v>
      </c>
      <c r="AE16" s="63">
        <f>'Local multi year dist'!AW16</f>
        <v>16458.260551743904</v>
      </c>
      <c r="AF16" s="63">
        <f>'Local multi year dist'!AX16</f>
        <v>15070.689798672871</v>
      </c>
      <c r="AG16" s="63">
        <f>'Local multi year dist'!AY16</f>
        <v>11766.171457449462</v>
      </c>
      <c r="AH16" s="63">
        <f>'Local multi year dist'!AZ16</f>
        <v>11766.171457449462</v>
      </c>
      <c r="AI16" s="63">
        <f>'Local multi year dist'!BA16</f>
        <v>11766.171457449462</v>
      </c>
      <c r="AJ16" s="63">
        <f>'Local multi year dist'!BB16</f>
        <v>9725.1265185900756</v>
      </c>
      <c r="AK16" s="63">
        <f>'Local multi year dist'!BC16</f>
        <v>9725.1265185900756</v>
      </c>
      <c r="AL16" s="63">
        <f>'Local multi year dist'!BD16</f>
        <v>7019.2222830877236</v>
      </c>
      <c r="AN16" s="63">
        <f>'Local multi year dist'!BF16</f>
        <v>0</v>
      </c>
      <c r="AO16" s="63">
        <f>'Local multi year dist'!BG16</f>
        <v>8429.9692630943391</v>
      </c>
      <c r="AP16" s="63">
        <f>'Local multi year dist'!BH16</f>
        <v>9758.1231115605533</v>
      </c>
      <c r="AQ16" s="63">
        <f>'Local multi year dist'!BI16</f>
        <v>3799.9515373744689</v>
      </c>
      <c r="AR16" s="63">
        <f>'Local multi year dist'!BJ16</f>
        <v>4169.1466661037321</v>
      </c>
      <c r="AS16" s="63">
        <f>'Local multi year dist'!BK16</f>
        <v>4441.6093777174328</v>
      </c>
      <c r="AT16" s="63">
        <f>'Local multi year dist'!BL16</f>
        <v>3342.9122755783451</v>
      </c>
      <c r="AU16" s="63">
        <f>'Local multi year dist'!BM16</f>
        <v>4754.2152903181395</v>
      </c>
      <c r="AV16" s="63">
        <f>'Local multi year dist'!BN16</f>
        <v>4782.7491851965278</v>
      </c>
      <c r="AW16" s="63">
        <f>'Local multi year dist'!BO16</f>
        <v>4448.0488079726474</v>
      </c>
      <c r="AX16" s="63">
        <f>'Local multi year dist'!BP16</f>
        <v>4114.5651379359761</v>
      </c>
      <c r="AY16" s="63">
        <f>'Local multi year dist'!BQ16</f>
        <v>3767.6724496682177</v>
      </c>
      <c r="AZ16" s="63">
        <f>'Local multi year dist'!BR16</f>
        <v>2941.5428643623654</v>
      </c>
      <c r="BA16" s="63">
        <f>'Local multi year dist'!BS16</f>
        <v>2941.5428643623654</v>
      </c>
      <c r="BB16" s="63">
        <f>'Local multi year dist'!BT16</f>
        <v>2941.5428643623654</v>
      </c>
      <c r="BC16" s="63">
        <f>'Local multi year dist'!BU16</f>
        <v>2431.2816296475189</v>
      </c>
      <c r="BD16" s="63">
        <f>'Local multi year dist'!BV16</f>
        <v>2431.2816296475189</v>
      </c>
      <c r="BE16" s="63">
        <f>'Local multi year dist'!BW16</f>
        <v>1754.8055707719309</v>
      </c>
      <c r="BF16" s="63"/>
      <c r="BG16" s="63"/>
      <c r="BH16" s="63"/>
      <c r="BI16" s="63"/>
      <c r="BJ16" s="63"/>
      <c r="BK16" s="63"/>
      <c r="BL16" s="63"/>
      <c r="BM16" s="63"/>
      <c r="BN16" s="63"/>
      <c r="BO16" s="63"/>
      <c r="BP16" s="63"/>
      <c r="BQ16" s="63"/>
    </row>
    <row r="17" spans="1:69" x14ac:dyDescent="0.25">
      <c r="A17" t="str">
        <f>'Local multi year dist'!S17</f>
        <v>Bristol City</v>
      </c>
      <c r="B17" s="63">
        <f>'Local multi year dist'!T17</f>
        <v>17647.958340549761</v>
      </c>
      <c r="C17" s="63">
        <f>'Local multi year dist'!U17</f>
        <v>111721.19777749905</v>
      </c>
      <c r="D17" s="63">
        <f>'Local multi year dist'!V17</f>
        <v>137780.82406117453</v>
      </c>
      <c r="E17" s="63">
        <f>'Local multi year dist'!W17</f>
        <v>52838.641008119899</v>
      </c>
      <c r="F17" s="63">
        <f>'Local multi year dist'!X17</f>
        <v>56778.534386660118</v>
      </c>
      <c r="G17" s="63">
        <f>'Local multi year dist'!Y17</f>
        <v>60342.034643024141</v>
      </c>
      <c r="H17" s="63">
        <f>'Local multi year dist'!Z17</f>
        <v>45972.334723535532</v>
      </c>
      <c r="I17" s="63">
        <f>'Local multi year dist'!AA17</f>
        <v>64430.56199818357</v>
      </c>
      <c r="J17" s="63">
        <f>'Local multi year dist'!AB17</f>
        <v>64723.716899758118</v>
      </c>
      <c r="K17" s="63">
        <f>'Local multi year dist'!AC17</f>
        <v>60600.357905742596</v>
      </c>
      <c r="L17" s="63">
        <f>'Local multi year dist'!AD17</f>
        <v>56237.50318552558</v>
      </c>
      <c r="M17" s="63">
        <f>'Local multi year dist'!AE17</f>
        <v>51700.544068251642</v>
      </c>
      <c r="N17" s="63">
        <f>'Local multi year dist'!AF17</f>
        <v>39455.071279931042</v>
      </c>
      <c r="O17" s="63">
        <f>'Local multi year dist'!AG17</f>
        <v>39455.071279931042</v>
      </c>
      <c r="P17" s="63">
        <f>'Local multi year dist'!AH17</f>
        <v>39455.071279931042</v>
      </c>
      <c r="Q17" s="63">
        <f>'Local multi year dist'!AI17</f>
        <v>32781.438657141181</v>
      </c>
      <c r="R17" s="63">
        <f>'Local multi year dist'!AJ17</f>
        <v>32781.438657141181</v>
      </c>
      <c r="S17" s="63">
        <f>'Local multi year dist'!AK17</f>
        <v>22950.847344500795</v>
      </c>
      <c r="T17" s="63"/>
      <c r="U17" s="63">
        <f>'Local multi year dist'!AM17</f>
        <v>0</v>
      </c>
      <c r="V17" s="63">
        <f>'Local multi year dist'!AN17</f>
        <v>40426.592930198269</v>
      </c>
      <c r="W17" s="63">
        <f>'Local multi year dist'!AO17</f>
        <v>46795.861109583209</v>
      </c>
      <c r="X17" s="63">
        <f>'Local multi year dist'!AP17</f>
        <v>18222.972013486404</v>
      </c>
      <c r="Y17" s="63">
        <f>'Local multi year dist'!AQ17</f>
        <v>19993.476829712923</v>
      </c>
      <c r="Z17" s="63">
        <f>'Local multi year dist'!AR17</f>
        <v>21300.093590379733</v>
      </c>
      <c r="AA17" s="63">
        <f>'Local multi year dist'!AS17</f>
        <v>16031.203619900572</v>
      </c>
      <c r="AB17" s="63">
        <f>'Local multi year dist'!AT17</f>
        <v>22799.220287271524</v>
      </c>
      <c r="AC17" s="63">
        <f>'Local multi year dist'!AU17</f>
        <v>22936.056866025338</v>
      </c>
      <c r="AD17" s="63">
        <f>'Local multi year dist'!AV17</f>
        <v>21330.974394034572</v>
      </c>
      <c r="AE17" s="63">
        <f>'Local multi year dist'!AW17</f>
        <v>19731.72673883109</v>
      </c>
      <c r="AF17" s="63">
        <f>'Local multi year dist'!AX17</f>
        <v>18068.17506249731</v>
      </c>
      <c r="AG17" s="63">
        <f>'Local multi year dist'!AY17</f>
        <v>14106.404454511234</v>
      </c>
      <c r="AH17" s="63">
        <f>'Local multi year dist'!AZ17</f>
        <v>14106.404454511234</v>
      </c>
      <c r="AI17" s="63">
        <f>'Local multi year dist'!BA17</f>
        <v>14106.404454511234</v>
      </c>
      <c r="AJ17" s="63">
        <f>'Local multi year dist'!BB17</f>
        <v>11659.405826154954</v>
      </c>
      <c r="AK17" s="63">
        <f>'Local multi year dist'!BC17</f>
        <v>11659.405826154954</v>
      </c>
      <c r="AL17" s="63">
        <f>'Local multi year dist'!BD17</f>
        <v>8415.3106929836249</v>
      </c>
      <c r="AN17" s="63">
        <f>'Local multi year dist'!BF17</f>
        <v>0</v>
      </c>
      <c r="AO17" s="63">
        <f>'Local multi year dist'!BG17</f>
        <v>10106.648232549567</v>
      </c>
      <c r="AP17" s="63">
        <f>'Local multi year dist'!BH17</f>
        <v>11698.965277395802</v>
      </c>
      <c r="AQ17" s="63">
        <f>'Local multi year dist'!BI17</f>
        <v>4555.7430033716009</v>
      </c>
      <c r="AR17" s="63">
        <f>'Local multi year dist'!BJ17</f>
        <v>4998.3692074282308</v>
      </c>
      <c r="AS17" s="63">
        <f>'Local multi year dist'!BK17</f>
        <v>5325.0233975949332</v>
      </c>
      <c r="AT17" s="63">
        <f>'Local multi year dist'!BL17</f>
        <v>4007.8009049751431</v>
      </c>
      <c r="AU17" s="63">
        <f>'Local multi year dist'!BM17</f>
        <v>5699.8050718178811</v>
      </c>
      <c r="AV17" s="63">
        <f>'Local multi year dist'!BN17</f>
        <v>5734.0142165063344</v>
      </c>
      <c r="AW17" s="63">
        <f>'Local multi year dist'!BO17</f>
        <v>5332.7435985086431</v>
      </c>
      <c r="AX17" s="63">
        <f>'Local multi year dist'!BP17</f>
        <v>4932.9316847077725</v>
      </c>
      <c r="AY17" s="63">
        <f>'Local multi year dist'!BQ17</f>
        <v>4517.0437656243275</v>
      </c>
      <c r="AZ17" s="63">
        <f>'Local multi year dist'!BR17</f>
        <v>3526.6011136278084</v>
      </c>
      <c r="BA17" s="63">
        <f>'Local multi year dist'!BS17</f>
        <v>3526.6011136278084</v>
      </c>
      <c r="BB17" s="63">
        <f>'Local multi year dist'!BT17</f>
        <v>3526.6011136278084</v>
      </c>
      <c r="BC17" s="63">
        <f>'Local multi year dist'!BU17</f>
        <v>2914.8514565387386</v>
      </c>
      <c r="BD17" s="63">
        <f>'Local multi year dist'!BV17</f>
        <v>2914.8514565387386</v>
      </c>
      <c r="BE17" s="63">
        <f>'Local multi year dist'!BW17</f>
        <v>2103.8276732459062</v>
      </c>
      <c r="BF17" s="63"/>
      <c r="BG17" s="63"/>
      <c r="BH17" s="63"/>
      <c r="BI17" s="63"/>
      <c r="BJ17" s="63"/>
      <c r="BK17" s="63"/>
      <c r="BL17" s="63"/>
      <c r="BM17" s="63"/>
      <c r="BN17" s="63"/>
      <c r="BO17" s="63"/>
      <c r="BP17" s="63"/>
      <c r="BQ17" s="63"/>
    </row>
    <row r="18" spans="1:69" x14ac:dyDescent="0.25">
      <c r="A18" t="str">
        <f>'Local multi year dist'!S18</f>
        <v>Brunswick County</v>
      </c>
      <c r="B18" s="63">
        <f>'Local multi year dist'!T18</f>
        <v>4350.9943374166469</v>
      </c>
      <c r="C18" s="63">
        <f>'Local multi year dist'!U18</f>
        <v>27544.166272332714</v>
      </c>
      <c r="D18" s="63">
        <f>'Local multi year dist'!V18</f>
        <v>33969.005010473906</v>
      </c>
      <c r="E18" s="63">
        <f>'Local multi year dist'!W18</f>
        <v>13027.03822089592</v>
      </c>
      <c r="F18" s="63">
        <f>'Local multi year dist'!X18</f>
        <v>13998.394422517587</v>
      </c>
      <c r="G18" s="63">
        <f>'Local multi year dist'!Y18</f>
        <v>14876.95324148291</v>
      </c>
      <c r="H18" s="63">
        <f>'Local multi year dist'!Z18</f>
        <v>11334.193123083645</v>
      </c>
      <c r="I18" s="63">
        <f>'Local multi year dist'!AA18</f>
        <v>15884.954225358622</v>
      </c>
      <c r="J18" s="63">
        <f>'Local multi year dist'!AB18</f>
        <v>15957.229742567095</v>
      </c>
      <c r="K18" s="63">
        <f>'Local multi year dist'!AC18</f>
        <v>14940.64123482594</v>
      </c>
      <c r="L18" s="63">
        <f>'Local multi year dist'!AD18</f>
        <v>13865.006545740178</v>
      </c>
      <c r="M18" s="63">
        <f>'Local multi year dist'!AE18</f>
        <v>12746.447500697986</v>
      </c>
      <c r="N18" s="63">
        <f>'Local multi year dist'!AF18</f>
        <v>9727.4023662502786</v>
      </c>
      <c r="O18" s="63">
        <f>'Local multi year dist'!AG18</f>
        <v>9727.4023662502786</v>
      </c>
      <c r="P18" s="63">
        <f>'Local multi year dist'!AH18</f>
        <v>9727.4023662502786</v>
      </c>
      <c r="Q18" s="63">
        <f>'Local multi year dist'!AI18</f>
        <v>8082.0597610924115</v>
      </c>
      <c r="R18" s="63">
        <f>'Local multi year dist'!AJ18</f>
        <v>8082.0597610924115</v>
      </c>
      <c r="S18" s="63">
        <f>'Local multi year dist'!AK18</f>
        <v>5658.3886310174776</v>
      </c>
      <c r="T18" s="63"/>
      <c r="U18" s="63">
        <f>'Local multi year dist'!AM18</f>
        <v>0</v>
      </c>
      <c r="V18" s="63">
        <f>'Local multi year dist'!AN18</f>
        <v>9966.9249850949655</v>
      </c>
      <c r="W18" s="63">
        <f>'Local multi year dist'!AO18</f>
        <v>11537.228430242865</v>
      </c>
      <c r="X18" s="63">
        <f>'Local multi year dist'!AP18</f>
        <v>4492.760381205173</v>
      </c>
      <c r="Y18" s="63">
        <f>'Local multi year dist'!AQ18</f>
        <v>4929.2673289845225</v>
      </c>
      <c r="Z18" s="63">
        <f>'Local multi year dist'!AR18</f>
        <v>5251.4055626051413</v>
      </c>
      <c r="AA18" s="63">
        <f>'Local multi year dist'!AS18</f>
        <v>3952.3935191920768</v>
      </c>
      <c r="AB18" s="63">
        <f>'Local multi year dist'!AT18</f>
        <v>5621.0059233595694</v>
      </c>
      <c r="AC18" s="63">
        <f>'Local multi year dist'!AU18</f>
        <v>5654.7421305638509</v>
      </c>
      <c r="AD18" s="63">
        <f>'Local multi year dist'!AV18</f>
        <v>5259.0190326306438</v>
      </c>
      <c r="AE18" s="63">
        <f>'Local multi year dist'!AW18</f>
        <v>4864.7344724767891</v>
      </c>
      <c r="AF18" s="63">
        <f>'Local multi year dist'!AX18</f>
        <v>4454.5961559613188</v>
      </c>
      <c r="AG18" s="63">
        <f>'Local multi year dist'!AY18</f>
        <v>3477.846259522355</v>
      </c>
      <c r="AH18" s="63">
        <f>'Local multi year dist'!AZ18</f>
        <v>3477.846259522355</v>
      </c>
      <c r="AI18" s="63">
        <f>'Local multi year dist'!BA18</f>
        <v>3477.846259522355</v>
      </c>
      <c r="AJ18" s="63">
        <f>'Local multi year dist'!BB18</f>
        <v>2874.5539709644704</v>
      </c>
      <c r="AK18" s="63">
        <f>'Local multi year dist'!BC18</f>
        <v>2874.5539709644704</v>
      </c>
      <c r="AL18" s="63">
        <f>'Local multi year dist'!BD18</f>
        <v>2074.7424980397413</v>
      </c>
      <c r="AN18" s="63">
        <f>'Local multi year dist'!BF18</f>
        <v>0</v>
      </c>
      <c r="AO18" s="63">
        <f>'Local multi year dist'!BG18</f>
        <v>2491.7312462737414</v>
      </c>
      <c r="AP18" s="63">
        <f>'Local multi year dist'!BH18</f>
        <v>2884.3071075607163</v>
      </c>
      <c r="AQ18" s="63">
        <f>'Local multi year dist'!BI18</f>
        <v>1123.1900953012932</v>
      </c>
      <c r="AR18" s="63">
        <f>'Local multi year dist'!BJ18</f>
        <v>1232.3168322461306</v>
      </c>
      <c r="AS18" s="63">
        <f>'Local multi year dist'!BK18</f>
        <v>1312.8513906512853</v>
      </c>
      <c r="AT18" s="63">
        <f>'Local multi year dist'!BL18</f>
        <v>988.09837979801921</v>
      </c>
      <c r="AU18" s="63">
        <f>'Local multi year dist'!BM18</f>
        <v>1405.2514808398923</v>
      </c>
      <c r="AV18" s="63">
        <f>'Local multi year dist'!BN18</f>
        <v>1413.6855326409627</v>
      </c>
      <c r="AW18" s="63">
        <f>'Local multi year dist'!BO18</f>
        <v>1314.7547581576609</v>
      </c>
      <c r="AX18" s="63">
        <f>'Local multi year dist'!BP18</f>
        <v>1216.1836181191973</v>
      </c>
      <c r="AY18" s="63">
        <f>'Local multi year dist'!BQ18</f>
        <v>1113.6490389903297</v>
      </c>
      <c r="AZ18" s="63">
        <f>'Local multi year dist'!BR18</f>
        <v>869.46156488058875</v>
      </c>
      <c r="BA18" s="63">
        <f>'Local multi year dist'!BS18</f>
        <v>869.46156488058875</v>
      </c>
      <c r="BB18" s="63">
        <f>'Local multi year dist'!BT18</f>
        <v>869.46156488058875</v>
      </c>
      <c r="BC18" s="63">
        <f>'Local multi year dist'!BU18</f>
        <v>718.6384927411176</v>
      </c>
      <c r="BD18" s="63">
        <f>'Local multi year dist'!BV18</f>
        <v>718.6384927411176</v>
      </c>
      <c r="BE18" s="63">
        <f>'Local multi year dist'!BW18</f>
        <v>518.68562450993534</v>
      </c>
      <c r="BF18" s="63"/>
      <c r="BG18" s="63"/>
      <c r="BH18" s="63"/>
      <c r="BI18" s="63"/>
      <c r="BJ18" s="63"/>
      <c r="BK18" s="63"/>
      <c r="BL18" s="63"/>
      <c r="BM18" s="63"/>
      <c r="BN18" s="63"/>
      <c r="BO18" s="63"/>
      <c r="BP18" s="63"/>
      <c r="BQ18" s="63"/>
    </row>
    <row r="19" spans="1:69" x14ac:dyDescent="0.25">
      <c r="A19" t="str">
        <f>'Local multi year dist'!S19</f>
        <v>Buchanan County</v>
      </c>
      <c r="B19" s="63">
        <f>'Local multi year dist'!T19</f>
        <v>37776.390088411856</v>
      </c>
      <c r="C19" s="63">
        <f>'Local multi year dist'!U19</f>
        <v>239145.14455137495</v>
      </c>
      <c r="D19" s="63">
        <f>'Local multi year dist'!V19</f>
        <v>294927.15565168497</v>
      </c>
      <c r="E19" s="63">
        <f>'Local multi year dist'!W19</f>
        <v>113103.91128235814</v>
      </c>
      <c r="F19" s="63">
        <f>'Local multi year dist'!X19</f>
        <v>121537.46185531636</v>
      </c>
      <c r="G19" s="63">
        <f>'Local multi year dist'!Y19</f>
        <v>129165.32300315548</v>
      </c>
      <c r="H19" s="63">
        <f>'Local multi year dist'!Z19</f>
        <v>98406.218797614172</v>
      </c>
      <c r="I19" s="63">
        <f>'Local multi year dist'!AA19</f>
        <v>137917.03247998294</v>
      </c>
      <c r="J19" s="63">
        <f>'Local multi year dist'!AB19</f>
        <v>138544.5460826621</v>
      </c>
      <c r="K19" s="63">
        <f>'Local multi year dist'!AC19</f>
        <v>129718.27763694685</v>
      </c>
      <c r="L19" s="63">
        <f>'Local multi year dist'!AD19</f>
        <v>120379.35589712746</v>
      </c>
      <c r="M19" s="63">
        <f>'Local multi year dist'!AE19</f>
        <v>110667.75446867701</v>
      </c>
      <c r="N19" s="63">
        <f>'Local multi year dist'!AF19</f>
        <v>84455.671011649712</v>
      </c>
      <c r="O19" s="63">
        <f>'Local multi year dist'!AG19</f>
        <v>84455.671011649712</v>
      </c>
      <c r="P19" s="63">
        <f>'Local multi year dist'!AH19</f>
        <v>84455.671011649712</v>
      </c>
      <c r="Q19" s="63">
        <f>'Local multi year dist'!AI19</f>
        <v>70170.40671079306</v>
      </c>
      <c r="R19" s="63">
        <f>'Local multi year dist'!AJ19</f>
        <v>70170.40671079306</v>
      </c>
      <c r="S19" s="63">
        <f>'Local multi year dist'!AK19</f>
        <v>49127.505030048989</v>
      </c>
      <c r="T19" s="63"/>
      <c r="U19" s="63">
        <f>'Local multi year dist'!AM19</f>
        <v>0</v>
      </c>
      <c r="V19" s="63">
        <f>'Local multi year dist'!AN19</f>
        <v>86535.264590217121</v>
      </c>
      <c r="W19" s="63">
        <f>'Local multi year dist'!AO19</f>
        <v>100169.02067005263</v>
      </c>
      <c r="X19" s="63">
        <f>'Local multi year dist'!AP19</f>
        <v>39007.237328407573</v>
      </c>
      <c r="Y19" s="63">
        <f>'Local multi year dist'!AQ19</f>
        <v>42797.096716136693</v>
      </c>
      <c r="Z19" s="63">
        <f>'Local multi year dist'!AR19</f>
        <v>45593.97913701104</v>
      </c>
      <c r="AA19" s="63">
        <f>'Local multi year dist'!AS19</f>
        <v>34315.640928312554</v>
      </c>
      <c r="AB19" s="63">
        <f>'Local multi year dist'!AT19</f>
        <v>48802.939278514437</v>
      </c>
      <c r="AC19" s="63">
        <f>'Local multi year dist'!AU19</f>
        <v>49095.845227045073</v>
      </c>
      <c r="AD19" s="63">
        <f>'Local multi year dist'!AV19</f>
        <v>45660.081133774511</v>
      </c>
      <c r="AE19" s="63">
        <f>'Local multi year dist'!AW19</f>
        <v>42236.806775055535</v>
      </c>
      <c r="AF19" s="63">
        <f>'Local multi year dist'!AX19</f>
        <v>38675.886251290365</v>
      </c>
      <c r="AG19" s="63">
        <f>'Local multi year dist'!AY19</f>
        <v>30195.506309310946</v>
      </c>
      <c r="AH19" s="63">
        <f>'Local multi year dist'!AZ19</f>
        <v>30195.506309310946</v>
      </c>
      <c r="AI19" s="63">
        <f>'Local multi year dist'!BA19</f>
        <v>30195.506309310946</v>
      </c>
      <c r="AJ19" s="63">
        <f>'Local multi year dist'!BB19</f>
        <v>24957.57606566351</v>
      </c>
      <c r="AK19" s="63">
        <f>'Local multi year dist'!BC19</f>
        <v>24957.57606566351</v>
      </c>
      <c r="AL19" s="63">
        <f>'Local multi year dist'!BD19</f>
        <v>18013.418511017961</v>
      </c>
      <c r="AN19" s="63">
        <f>'Local multi year dist'!BF19</f>
        <v>0</v>
      </c>
      <c r="AO19" s="63">
        <f>'Local multi year dist'!BG19</f>
        <v>21633.81614755428</v>
      </c>
      <c r="AP19" s="63">
        <f>'Local multi year dist'!BH19</f>
        <v>25042.255167513158</v>
      </c>
      <c r="AQ19" s="63">
        <f>'Local multi year dist'!BI19</f>
        <v>9751.8093321018932</v>
      </c>
      <c r="AR19" s="63">
        <f>'Local multi year dist'!BJ19</f>
        <v>10699.274179034173</v>
      </c>
      <c r="AS19" s="63">
        <f>'Local multi year dist'!BK19</f>
        <v>11398.49478425276</v>
      </c>
      <c r="AT19" s="63">
        <f>'Local multi year dist'!BL19</f>
        <v>8578.9102320781385</v>
      </c>
      <c r="AU19" s="63">
        <f>'Local multi year dist'!BM19</f>
        <v>12200.734819628609</v>
      </c>
      <c r="AV19" s="63">
        <f>'Local multi year dist'!BN19</f>
        <v>12273.961306761268</v>
      </c>
      <c r="AW19" s="63">
        <f>'Local multi year dist'!BO19</f>
        <v>11415.020283443628</v>
      </c>
      <c r="AX19" s="63">
        <f>'Local multi year dist'!BP19</f>
        <v>10559.201693763884</v>
      </c>
      <c r="AY19" s="63">
        <f>'Local multi year dist'!BQ19</f>
        <v>9668.9715628225913</v>
      </c>
      <c r="AZ19" s="63">
        <f>'Local multi year dist'!BR19</f>
        <v>7548.8765773277364</v>
      </c>
      <c r="BA19" s="63">
        <f>'Local multi year dist'!BS19</f>
        <v>7548.8765773277364</v>
      </c>
      <c r="BB19" s="63">
        <f>'Local multi year dist'!BT19</f>
        <v>7548.8765773277364</v>
      </c>
      <c r="BC19" s="63">
        <f>'Local multi year dist'!BU19</f>
        <v>6239.3940164158776</v>
      </c>
      <c r="BD19" s="63">
        <f>'Local multi year dist'!BV19</f>
        <v>6239.3940164158776</v>
      </c>
      <c r="BE19" s="63">
        <f>'Local multi year dist'!BW19</f>
        <v>4503.3546277544901</v>
      </c>
      <c r="BF19" s="63"/>
      <c r="BG19" s="63"/>
      <c r="BH19" s="63"/>
      <c r="BI19" s="63"/>
      <c r="BJ19" s="63"/>
      <c r="BK19" s="63"/>
      <c r="BL19" s="63"/>
      <c r="BM19" s="63"/>
      <c r="BN19" s="63"/>
      <c r="BO19" s="63"/>
      <c r="BP19" s="63"/>
      <c r="BQ19" s="63"/>
    </row>
    <row r="20" spans="1:69" x14ac:dyDescent="0.25">
      <c r="A20" t="str">
        <f>'Local multi year dist'!S20</f>
        <v>Buckingham County</v>
      </c>
      <c r="B20" s="63">
        <f>'Local multi year dist'!T20</f>
        <v>5164.2643070272352</v>
      </c>
      <c r="C20" s="63">
        <f>'Local multi year dist'!U20</f>
        <v>32692.608566226678</v>
      </c>
      <c r="D20" s="63">
        <f>'Local multi year dist'!V20</f>
        <v>40318.351741403603</v>
      </c>
      <c r="E20" s="63">
        <f>'Local multi year dist'!W20</f>
        <v>15461.998636016651</v>
      </c>
      <c r="F20" s="63">
        <f>'Local multi year dist'!X20</f>
        <v>16614.916744483489</v>
      </c>
      <c r="G20" s="63">
        <f>'Local multi year dist'!Y20</f>
        <v>17657.692165124576</v>
      </c>
      <c r="H20" s="63">
        <f>'Local multi year dist'!Z20</f>
        <v>13452.733893753484</v>
      </c>
      <c r="I20" s="63">
        <f>'Local multi year dist'!AA20</f>
        <v>18854.104547855561</v>
      </c>
      <c r="J20" s="63">
        <f>'Local multi year dist'!AB20</f>
        <v>18939.889507532906</v>
      </c>
      <c r="K20" s="63">
        <f>'Local multi year dist'!AC20</f>
        <v>17733.284456288733</v>
      </c>
      <c r="L20" s="63">
        <f>'Local multi year dist'!AD20</f>
        <v>16456.596554289743</v>
      </c>
      <c r="M20" s="63">
        <f>'Local multi year dist'!AE20</f>
        <v>15128.961052230319</v>
      </c>
      <c r="N20" s="63">
        <f>'Local multi year dist'!AF20</f>
        <v>11545.608416016687</v>
      </c>
      <c r="O20" s="63">
        <f>'Local multi year dist'!AG20</f>
        <v>11545.608416016687</v>
      </c>
      <c r="P20" s="63">
        <f>'Local multi year dist'!AH20</f>
        <v>11545.608416016687</v>
      </c>
      <c r="Q20" s="63">
        <f>'Local multi year dist'!AI20</f>
        <v>9592.7251369975347</v>
      </c>
      <c r="R20" s="63">
        <f>'Local multi year dist'!AJ20</f>
        <v>9592.7251369975347</v>
      </c>
      <c r="S20" s="63">
        <f>'Local multi year dist'!AK20</f>
        <v>6716.0313657870993</v>
      </c>
      <c r="T20" s="63"/>
      <c r="U20" s="63">
        <f>'Local multi year dist'!AM20</f>
        <v>0</v>
      </c>
      <c r="V20" s="63">
        <f>'Local multi year dist'!AN20</f>
        <v>11829.901617822996</v>
      </c>
      <c r="W20" s="63">
        <f>'Local multi year dist'!AO20</f>
        <v>13693.719725615361</v>
      </c>
      <c r="X20" s="63">
        <f>'Local multi year dist'!AP20</f>
        <v>5332.5286767575417</v>
      </c>
      <c r="Y20" s="63">
        <f>'Local multi year dist'!AQ20</f>
        <v>5850.6257082339662</v>
      </c>
      <c r="Z20" s="63">
        <f>'Local multi year dist'!AR20</f>
        <v>6232.9766958023638</v>
      </c>
      <c r="AA20" s="63">
        <f>'Local multi year dist'!AS20</f>
        <v>4691.158662966297</v>
      </c>
      <c r="AB20" s="63">
        <f>'Local multi year dist'!AT20</f>
        <v>6671.661236137058</v>
      </c>
      <c r="AC20" s="63">
        <f>'Local multi year dist'!AU20</f>
        <v>6711.703276463636</v>
      </c>
      <c r="AD20" s="63">
        <f>'Local multi year dist'!AV20</f>
        <v>6242.0132443373059</v>
      </c>
      <c r="AE20" s="63">
        <f>'Local multi year dist'!AW20</f>
        <v>5774.0306355565626</v>
      </c>
      <c r="AF20" s="63">
        <f>'Local multi year dist'!AX20</f>
        <v>5287.2309514681065</v>
      </c>
      <c r="AG20" s="63">
        <f>'Local multi year dist'!AY20</f>
        <v>4127.9109809284028</v>
      </c>
      <c r="AH20" s="63">
        <f>'Local multi year dist'!AZ20</f>
        <v>4127.9109809284028</v>
      </c>
      <c r="AI20" s="63">
        <f>'Local multi year dist'!BA20</f>
        <v>4127.9109809284028</v>
      </c>
      <c r="AJ20" s="63">
        <f>'Local multi year dist'!BB20</f>
        <v>3411.8537786213806</v>
      </c>
      <c r="AK20" s="63">
        <f>'Local multi year dist'!BC20</f>
        <v>3411.8537786213806</v>
      </c>
      <c r="AL20" s="63">
        <f>'Local multi year dist'!BD20</f>
        <v>2462.5448341219362</v>
      </c>
      <c r="AN20" s="63">
        <f>'Local multi year dist'!BF20</f>
        <v>0</v>
      </c>
      <c r="AO20" s="63">
        <f>'Local multi year dist'!BG20</f>
        <v>2957.475404455749</v>
      </c>
      <c r="AP20" s="63">
        <f>'Local multi year dist'!BH20</f>
        <v>3423.4299314038403</v>
      </c>
      <c r="AQ20" s="63">
        <f>'Local multi year dist'!BI20</f>
        <v>1333.1321691893854</v>
      </c>
      <c r="AR20" s="63">
        <f>'Local multi year dist'!BJ20</f>
        <v>1462.6564270584915</v>
      </c>
      <c r="AS20" s="63">
        <f>'Local multi year dist'!BK20</f>
        <v>1558.2441739505909</v>
      </c>
      <c r="AT20" s="63">
        <f>'Local multi year dist'!BL20</f>
        <v>1172.7896657415743</v>
      </c>
      <c r="AU20" s="63">
        <f>'Local multi year dist'!BM20</f>
        <v>1667.9153090342645</v>
      </c>
      <c r="AV20" s="63">
        <f>'Local multi year dist'!BN20</f>
        <v>1677.925819115909</v>
      </c>
      <c r="AW20" s="63">
        <f>'Local multi year dist'!BO20</f>
        <v>1560.5033110843265</v>
      </c>
      <c r="AX20" s="63">
        <f>'Local multi year dist'!BP20</f>
        <v>1443.5076588891407</v>
      </c>
      <c r="AY20" s="63">
        <f>'Local multi year dist'!BQ20</f>
        <v>1321.8077378670266</v>
      </c>
      <c r="AZ20" s="63">
        <f>'Local multi year dist'!BR20</f>
        <v>1031.9777452321007</v>
      </c>
      <c r="BA20" s="63">
        <f>'Local multi year dist'!BS20</f>
        <v>1031.9777452321007</v>
      </c>
      <c r="BB20" s="63">
        <f>'Local multi year dist'!BT20</f>
        <v>1031.9777452321007</v>
      </c>
      <c r="BC20" s="63">
        <f>'Local multi year dist'!BU20</f>
        <v>852.96344465534514</v>
      </c>
      <c r="BD20" s="63">
        <f>'Local multi year dist'!BV20</f>
        <v>852.96344465534514</v>
      </c>
      <c r="BE20" s="63">
        <f>'Local multi year dist'!BW20</f>
        <v>615.63620853048405</v>
      </c>
      <c r="BF20" s="63"/>
      <c r="BG20" s="63"/>
      <c r="BH20" s="63"/>
      <c r="BI20" s="63"/>
      <c r="BJ20" s="63"/>
      <c r="BK20" s="63"/>
      <c r="BL20" s="63"/>
      <c r="BM20" s="63"/>
      <c r="BN20" s="63"/>
      <c r="BO20" s="63"/>
      <c r="BP20" s="63"/>
      <c r="BQ20" s="63"/>
    </row>
    <row r="21" spans="1:69" x14ac:dyDescent="0.25">
      <c r="A21" t="str">
        <f>'Local multi year dist'!S21</f>
        <v>Buena Vista City</v>
      </c>
      <c r="B21" s="63">
        <f>'Local multi year dist'!T21</f>
        <v>3171.752881481294</v>
      </c>
      <c r="C21" s="63">
        <f>'Local multi year dist'!U21</f>
        <v>20078.924946186464</v>
      </c>
      <c r="D21" s="63">
        <f>'Local multi year dist'!V21</f>
        <v>24762.452250625836</v>
      </c>
      <c r="E21" s="63">
        <f>'Local multi year dist'!W21</f>
        <v>9496.3456189708577</v>
      </c>
      <c r="F21" s="63">
        <f>'Local multi year dist'!X21</f>
        <v>10204.437055667026</v>
      </c>
      <c r="G21" s="63">
        <f>'Local multi year dist'!Y21</f>
        <v>10844.881802202495</v>
      </c>
      <c r="H21" s="63">
        <f>'Local multi year dist'!Z21</f>
        <v>8262.3090056123765</v>
      </c>
      <c r="I21" s="63">
        <f>'Local multi year dist'!AA21</f>
        <v>11579.68625773806</v>
      </c>
      <c r="J21" s="63">
        <f>'Local multi year dist'!AB21</f>
        <v>11632.373083366667</v>
      </c>
      <c r="K21" s="63">
        <f>'Local multi year dist'!AC21</f>
        <v>10891.30856370489</v>
      </c>
      <c r="L21" s="63">
        <f>'Local multi year dist'!AD21</f>
        <v>10107.201033343308</v>
      </c>
      <c r="M21" s="63">
        <f>'Local multi year dist'!AE21</f>
        <v>9291.8028509761025</v>
      </c>
      <c r="N21" s="63">
        <f>'Local multi year dist'!AF21</f>
        <v>7091.0035940889884</v>
      </c>
      <c r="O21" s="63">
        <f>'Local multi year dist'!AG21</f>
        <v>7091.0035940889884</v>
      </c>
      <c r="P21" s="63">
        <f>'Local multi year dist'!AH21</f>
        <v>7091.0035940889884</v>
      </c>
      <c r="Q21" s="63">
        <f>'Local multi year dist'!AI21</f>
        <v>5891.5949660299821</v>
      </c>
      <c r="R21" s="63">
        <f>'Local multi year dist'!AJ21</f>
        <v>5891.5949660299821</v>
      </c>
      <c r="S21" s="63">
        <f>'Local multi year dist'!AK21</f>
        <v>4124.8066656015253</v>
      </c>
      <c r="T21" s="63"/>
      <c r="U21" s="63">
        <f>'Local multi year dist'!AM21</f>
        <v>0</v>
      </c>
      <c r="V21" s="63">
        <f>'Local multi year dist'!AN21</f>
        <v>7265.6088676393201</v>
      </c>
      <c r="W21" s="63">
        <f>'Local multi year dist'!AO21</f>
        <v>8410.3160519527428</v>
      </c>
      <c r="X21" s="63">
        <f>'Local multi year dist'!AP21</f>
        <v>3275.0963526542382</v>
      </c>
      <c r="Y21" s="63">
        <f>'Local multi year dist'!AQ21</f>
        <v>3593.2976790728294</v>
      </c>
      <c r="Z21" s="63">
        <f>'Local multi year dist'!AR21</f>
        <v>3828.1274194691687</v>
      </c>
      <c r="AA21" s="63">
        <f>'Local multi year dist'!AS21</f>
        <v>2881.1840607194576</v>
      </c>
      <c r="AB21" s="63">
        <f>'Local multi year dist'!AT21</f>
        <v>4097.5557198322094</v>
      </c>
      <c r="AC21" s="63">
        <f>'Local multi year dist'!AU21</f>
        <v>4122.148469009162</v>
      </c>
      <c r="AD21" s="63">
        <f>'Local multi year dist'!AV21</f>
        <v>3833.6774256559834</v>
      </c>
      <c r="AE21" s="63">
        <f>'Local multi year dist'!AW21</f>
        <v>3546.2550360111177</v>
      </c>
      <c r="AF21" s="63">
        <f>'Local multi year dist'!AX21</f>
        <v>3247.2757024764751</v>
      </c>
      <c r="AG21" s="63">
        <f>'Local multi year dist'!AY21</f>
        <v>2535.2524134835858</v>
      </c>
      <c r="AH21" s="63">
        <f>'Local multi year dist'!AZ21</f>
        <v>2535.2524134835858</v>
      </c>
      <c r="AI21" s="63">
        <f>'Local multi year dist'!BA21</f>
        <v>2535.2524134835858</v>
      </c>
      <c r="AJ21" s="63">
        <f>'Local multi year dist'!BB21</f>
        <v>2095.4692498619502</v>
      </c>
      <c r="AK21" s="63">
        <f>'Local multi year dist'!BC21</f>
        <v>2095.4692498619502</v>
      </c>
      <c r="AL21" s="63">
        <f>'Local multi year dist'!BD21</f>
        <v>1512.4291107205593</v>
      </c>
      <c r="AN21" s="63">
        <f>'Local multi year dist'!BF21</f>
        <v>0</v>
      </c>
      <c r="AO21" s="63">
        <f>'Local multi year dist'!BG21</f>
        <v>1816.40221690983</v>
      </c>
      <c r="AP21" s="63">
        <f>'Local multi year dist'!BH21</f>
        <v>2102.5790129881857</v>
      </c>
      <c r="AQ21" s="63">
        <f>'Local multi year dist'!BI21</f>
        <v>818.77408816355955</v>
      </c>
      <c r="AR21" s="63">
        <f>'Local multi year dist'!BJ21</f>
        <v>898.32441976820735</v>
      </c>
      <c r="AS21" s="63">
        <f>'Local multi year dist'!BK21</f>
        <v>957.03185486729217</v>
      </c>
      <c r="AT21" s="63">
        <f>'Local multi year dist'!BL21</f>
        <v>720.29601517986441</v>
      </c>
      <c r="AU21" s="63">
        <f>'Local multi year dist'!BM21</f>
        <v>1024.3889299580524</v>
      </c>
      <c r="AV21" s="63">
        <f>'Local multi year dist'!BN21</f>
        <v>1030.5371172522905</v>
      </c>
      <c r="AW21" s="63">
        <f>'Local multi year dist'!BO21</f>
        <v>958.41935641399584</v>
      </c>
      <c r="AX21" s="63">
        <f>'Local multi year dist'!BP21</f>
        <v>886.56375900277942</v>
      </c>
      <c r="AY21" s="63">
        <f>'Local multi year dist'!BQ21</f>
        <v>811.81892561911877</v>
      </c>
      <c r="AZ21" s="63">
        <f>'Local multi year dist'!BR21</f>
        <v>633.81310337089644</v>
      </c>
      <c r="BA21" s="63">
        <f>'Local multi year dist'!BS21</f>
        <v>633.81310337089644</v>
      </c>
      <c r="BB21" s="63">
        <f>'Local multi year dist'!BT21</f>
        <v>633.81310337089644</v>
      </c>
      <c r="BC21" s="63">
        <f>'Local multi year dist'!BU21</f>
        <v>523.86731246548754</v>
      </c>
      <c r="BD21" s="63">
        <f>'Local multi year dist'!BV21</f>
        <v>523.86731246548754</v>
      </c>
      <c r="BE21" s="63">
        <f>'Local multi year dist'!BW21</f>
        <v>378.10727768013982</v>
      </c>
      <c r="BF21" s="63"/>
      <c r="BG21" s="63"/>
      <c r="BH21" s="63"/>
      <c r="BI21" s="63"/>
      <c r="BJ21" s="63"/>
      <c r="BK21" s="63"/>
      <c r="BL21" s="63"/>
      <c r="BM21" s="63"/>
      <c r="BN21" s="63"/>
      <c r="BO21" s="63"/>
      <c r="BP21" s="63"/>
      <c r="BQ21" s="63"/>
    </row>
    <row r="22" spans="1:69" x14ac:dyDescent="0.25">
      <c r="A22" t="str">
        <f>'Local multi year dist'!S22</f>
        <v>Campbell County</v>
      </c>
      <c r="B22" s="63">
        <f>'Local multi year dist'!T22</f>
        <v>18542.555307121409</v>
      </c>
      <c r="C22" s="63">
        <f>'Local multi year dist'!U22</f>
        <v>117384.48430078239</v>
      </c>
      <c r="D22" s="63">
        <f>'Local multi year dist'!V22</f>
        <v>144765.10546519718</v>
      </c>
      <c r="E22" s="63">
        <f>'Local multi year dist'!W22</f>
        <v>55517.097464752696</v>
      </c>
      <c r="F22" s="63">
        <f>'Local multi year dist'!X22</f>
        <v>59656.708940822602</v>
      </c>
      <c r="G22" s="63">
        <f>'Local multi year dist'!Y22</f>
        <v>63400.847459029959</v>
      </c>
      <c r="H22" s="63">
        <f>'Local multi year dist'!Z22</f>
        <v>48302.72957127235</v>
      </c>
      <c r="I22" s="63">
        <f>'Local multi year dist'!AA22</f>
        <v>67696.627352930183</v>
      </c>
      <c r="J22" s="63">
        <f>'Local multi year dist'!AB22</f>
        <v>68004.642641220504</v>
      </c>
      <c r="K22" s="63">
        <f>'Local multi year dist'!AC22</f>
        <v>63672.26544935166</v>
      </c>
      <c r="L22" s="63">
        <f>'Local multi year dist'!AD22</f>
        <v>59088.252194930094</v>
      </c>
      <c r="M22" s="63">
        <f>'Local multi year dist'!AE22</f>
        <v>54321.308974937201</v>
      </c>
      <c r="N22" s="63">
        <f>'Local multi year dist'!AF22</f>
        <v>41455.097934674079</v>
      </c>
      <c r="O22" s="63">
        <f>'Local multi year dist'!AG22</f>
        <v>41455.097934674079</v>
      </c>
      <c r="P22" s="63">
        <f>'Local multi year dist'!AH22</f>
        <v>41455.097934674079</v>
      </c>
      <c r="Q22" s="63">
        <f>'Local multi year dist'!AI22</f>
        <v>34443.170570636816</v>
      </c>
      <c r="R22" s="63">
        <f>'Local multi year dist'!AJ22</f>
        <v>34443.170570636816</v>
      </c>
      <c r="S22" s="63">
        <f>'Local multi year dist'!AK22</f>
        <v>24114.254352747375</v>
      </c>
      <c r="T22" s="63"/>
      <c r="U22" s="63">
        <f>'Local multi year dist'!AM22</f>
        <v>0</v>
      </c>
      <c r="V22" s="63">
        <f>'Local multi year dist'!AN22</f>
        <v>42475.867226199094</v>
      </c>
      <c r="W22" s="63">
        <f>'Local multi year dist'!AO22</f>
        <v>49168.001534492949</v>
      </c>
      <c r="X22" s="63">
        <f>'Local multi year dist'!AP22</f>
        <v>19146.717138594006</v>
      </c>
      <c r="Y22" s="63">
        <f>'Local multi year dist'!AQ22</f>
        <v>21006.971046887309</v>
      </c>
      <c r="Z22" s="63">
        <f>'Local multi year dist'!AR22</f>
        <v>22379.821836896674</v>
      </c>
      <c r="AA22" s="63">
        <f>'Local multi year dist'!AS22</f>
        <v>16843.845278052213</v>
      </c>
      <c r="AB22" s="63">
        <f>'Local multi year dist'!AT22</f>
        <v>23954.941131326759</v>
      </c>
      <c r="AC22" s="63">
        <f>'Local multi year dist'!AU22</f>
        <v>24098.7141265151</v>
      </c>
      <c r="AD22" s="63">
        <f>'Local multi year dist'!AV22</f>
        <v>22412.268026911897</v>
      </c>
      <c r="AE22" s="63">
        <f>'Local multi year dist'!AW22</f>
        <v>20731.952518218837</v>
      </c>
      <c r="AF22" s="63">
        <f>'Local multi year dist'!AX22</f>
        <v>18984.073337554775</v>
      </c>
      <c r="AG22" s="63">
        <f>'Local multi year dist'!AY22</f>
        <v>14821.475648057884</v>
      </c>
      <c r="AH22" s="63">
        <f>'Local multi year dist'!AZ22</f>
        <v>14821.475648057884</v>
      </c>
      <c r="AI22" s="63">
        <f>'Local multi year dist'!BA22</f>
        <v>14821.475648057884</v>
      </c>
      <c r="AJ22" s="63">
        <f>'Local multi year dist'!BB22</f>
        <v>12250.435614577553</v>
      </c>
      <c r="AK22" s="63">
        <f>'Local multi year dist'!BC22</f>
        <v>12250.435614577553</v>
      </c>
      <c r="AL22" s="63">
        <f>'Local multi year dist'!BD22</f>
        <v>8841.893262674037</v>
      </c>
      <c r="AN22" s="63">
        <f>'Local multi year dist'!BF22</f>
        <v>0</v>
      </c>
      <c r="AO22" s="63">
        <f>'Local multi year dist'!BG22</f>
        <v>10618.966806549774</v>
      </c>
      <c r="AP22" s="63">
        <f>'Local multi year dist'!BH22</f>
        <v>12292.000383623237</v>
      </c>
      <c r="AQ22" s="63">
        <f>'Local multi year dist'!BI22</f>
        <v>4786.6792846485014</v>
      </c>
      <c r="AR22" s="63">
        <f>'Local multi year dist'!BJ22</f>
        <v>5251.7427617218273</v>
      </c>
      <c r="AS22" s="63">
        <f>'Local multi year dist'!BK22</f>
        <v>5594.9554592241684</v>
      </c>
      <c r="AT22" s="63">
        <f>'Local multi year dist'!BL22</f>
        <v>4210.9613195130532</v>
      </c>
      <c r="AU22" s="63">
        <f>'Local multi year dist'!BM22</f>
        <v>5988.7352828316898</v>
      </c>
      <c r="AV22" s="63">
        <f>'Local multi year dist'!BN22</f>
        <v>6024.6785316287751</v>
      </c>
      <c r="AW22" s="63">
        <f>'Local multi year dist'!BO22</f>
        <v>5603.0670067279743</v>
      </c>
      <c r="AX22" s="63">
        <f>'Local multi year dist'!BP22</f>
        <v>5182.9881295547093</v>
      </c>
      <c r="AY22" s="63">
        <f>'Local multi year dist'!BQ22</f>
        <v>4746.0183343886938</v>
      </c>
      <c r="AZ22" s="63">
        <f>'Local multi year dist'!BR22</f>
        <v>3705.3689120144709</v>
      </c>
      <c r="BA22" s="63">
        <f>'Local multi year dist'!BS22</f>
        <v>3705.3689120144709</v>
      </c>
      <c r="BB22" s="63">
        <f>'Local multi year dist'!BT22</f>
        <v>3705.3689120144709</v>
      </c>
      <c r="BC22" s="63">
        <f>'Local multi year dist'!BU22</f>
        <v>3062.6089036443882</v>
      </c>
      <c r="BD22" s="63">
        <f>'Local multi year dist'!BV22</f>
        <v>3062.6089036443882</v>
      </c>
      <c r="BE22" s="63">
        <f>'Local multi year dist'!BW22</f>
        <v>2210.4733156685093</v>
      </c>
      <c r="BF22" s="63"/>
      <c r="BG22" s="63"/>
      <c r="BH22" s="63"/>
      <c r="BI22" s="63"/>
      <c r="BJ22" s="63"/>
      <c r="BK22" s="63"/>
      <c r="BL22" s="63"/>
      <c r="BM22" s="63"/>
      <c r="BN22" s="63"/>
      <c r="BO22" s="63"/>
      <c r="BP22" s="63"/>
      <c r="BQ22" s="63"/>
    </row>
    <row r="23" spans="1:69" x14ac:dyDescent="0.25">
      <c r="A23" t="str">
        <f>'Local multi year dist'!S23</f>
        <v>Caroline County</v>
      </c>
      <c r="B23" s="63">
        <f>'Local multi year dist'!T23</f>
        <v>12930.992516808352</v>
      </c>
      <c r="C23" s="63">
        <f>'Local multi year dist'!U23</f>
        <v>81860.232472914053</v>
      </c>
      <c r="D23" s="63">
        <f>'Local multi year dist'!V23</f>
        <v>100954.61302178225</v>
      </c>
      <c r="E23" s="63">
        <f>'Local multi year dist'!W23</f>
        <v>38715.870600419643</v>
      </c>
      <c r="F23" s="63">
        <f>'Local multi year dist'!X23</f>
        <v>41602.704919257871</v>
      </c>
      <c r="G23" s="63">
        <f>'Local multi year dist'!Y23</f>
        <v>44213.748885902482</v>
      </c>
      <c r="H23" s="63">
        <f>'Local multi year dist'!Z23</f>
        <v>33684.798253650457</v>
      </c>
      <c r="I23" s="63">
        <f>'Local multi year dist'!AA23</f>
        <v>47209.49012770132</v>
      </c>
      <c r="J23" s="63">
        <f>'Local multi year dist'!AB23</f>
        <v>47424.290262956405</v>
      </c>
      <c r="K23" s="63">
        <f>'Local multi year dist'!AC23</f>
        <v>44403.027221258395</v>
      </c>
      <c r="L23" s="63">
        <f>'Local multi year dist'!AD23</f>
        <v>41206.281135938101</v>
      </c>
      <c r="M23" s="63">
        <f>'Local multi year dist'!AE23</f>
        <v>37881.965469364106</v>
      </c>
      <c r="N23" s="63">
        <f>'Local multi year dist'!AF23</f>
        <v>28909.476191285878</v>
      </c>
      <c r="O23" s="63">
        <f>'Local multi year dist'!AG23</f>
        <v>28909.476191285878</v>
      </c>
      <c r="P23" s="63">
        <f>'Local multi year dist'!AH23</f>
        <v>28909.476191285878</v>
      </c>
      <c r="Q23" s="63">
        <f>'Local multi year dist'!AI23</f>
        <v>24019.579476891464</v>
      </c>
      <c r="R23" s="63">
        <f>'Local multi year dist'!AJ23</f>
        <v>24019.579476891464</v>
      </c>
      <c r="S23" s="63">
        <f>'Local multi year dist'!AK23</f>
        <v>16816.519482836989</v>
      </c>
      <c r="T23" s="63"/>
      <c r="U23" s="63">
        <f>'Local multi year dist'!AM23</f>
        <v>0</v>
      </c>
      <c r="V23" s="63">
        <f>'Local multi year dist'!AN23</f>
        <v>29621.328460375687</v>
      </c>
      <c r="W23" s="63">
        <f>'Local multi year dist'!AO23</f>
        <v>34288.21159642272</v>
      </c>
      <c r="X23" s="63">
        <f>'Local multi year dist'!AP23</f>
        <v>13352.315899282663</v>
      </c>
      <c r="Y23" s="63">
        <f>'Local multi year dist'!AQ23</f>
        <v>14649.598230066151</v>
      </c>
      <c r="Z23" s="63">
        <f>'Local multi year dist'!AR23</f>
        <v>15606.98101783584</v>
      </c>
      <c r="AA23" s="63">
        <f>'Local multi year dist'!AS23</f>
        <v>11746.365786010098</v>
      </c>
      <c r="AB23" s="63">
        <f>'Local multi year dist'!AT23</f>
        <v>16705.419473162085</v>
      </c>
      <c r="AC23" s="63">
        <f>'Local multi year dist'!AU23</f>
        <v>16805.682219806586</v>
      </c>
      <c r="AD23" s="63">
        <f>'Local multi year dist'!AV23</f>
        <v>15629.607966135931</v>
      </c>
      <c r="AE23" s="63">
        <f>'Local multi year dist'!AW23</f>
        <v>14457.808992968401</v>
      </c>
      <c r="AF23" s="63">
        <f>'Local multi year dist'!AX23</f>
        <v>13238.893248557937</v>
      </c>
      <c r="AG23" s="63">
        <f>'Local multi year dist'!AY23</f>
        <v>10336.029070356157</v>
      </c>
      <c r="AH23" s="63">
        <f>'Local multi year dist'!AZ23</f>
        <v>10336.029070356157</v>
      </c>
      <c r="AI23" s="63">
        <f>'Local multi year dist'!BA23</f>
        <v>10336.029070356157</v>
      </c>
      <c r="AJ23" s="63">
        <f>'Local multi year dist'!BB23</f>
        <v>8543.0669417448735</v>
      </c>
      <c r="AK23" s="63">
        <f>'Local multi year dist'!BC23</f>
        <v>8543.0669417448735</v>
      </c>
      <c r="AL23" s="63">
        <f>'Local multi year dist'!BD23</f>
        <v>6166.0571437068947</v>
      </c>
      <c r="AN23" s="63">
        <f>'Local multi year dist'!BF23</f>
        <v>0</v>
      </c>
      <c r="AO23" s="63">
        <f>'Local multi year dist'!BG23</f>
        <v>7405.3321150939219</v>
      </c>
      <c r="AP23" s="63">
        <f>'Local multi year dist'!BH23</f>
        <v>8572.0528991056799</v>
      </c>
      <c r="AQ23" s="63">
        <f>'Local multi year dist'!BI23</f>
        <v>3338.0789748206657</v>
      </c>
      <c r="AR23" s="63">
        <f>'Local multi year dist'!BJ23</f>
        <v>3662.3995575165377</v>
      </c>
      <c r="AS23" s="63">
        <f>'Local multi year dist'!BK23</f>
        <v>3901.7452544589601</v>
      </c>
      <c r="AT23" s="63">
        <f>'Local multi year dist'!BL23</f>
        <v>2936.5914465025244</v>
      </c>
      <c r="AU23" s="63">
        <f>'Local multi year dist'!BM23</f>
        <v>4176.3548682905212</v>
      </c>
      <c r="AV23" s="63">
        <f>'Local multi year dist'!BN23</f>
        <v>4201.4205549516464</v>
      </c>
      <c r="AW23" s="63">
        <f>'Local multi year dist'!BO23</f>
        <v>3907.4019915339827</v>
      </c>
      <c r="AX23" s="63">
        <f>'Local multi year dist'!BP23</f>
        <v>3614.4522482421003</v>
      </c>
      <c r="AY23" s="63">
        <f>'Local multi year dist'!BQ23</f>
        <v>3309.7233121394843</v>
      </c>
      <c r="AZ23" s="63">
        <f>'Local multi year dist'!BR23</f>
        <v>2584.0072675890392</v>
      </c>
      <c r="BA23" s="63">
        <f>'Local multi year dist'!BS23</f>
        <v>2584.0072675890392</v>
      </c>
      <c r="BB23" s="63">
        <f>'Local multi year dist'!BT23</f>
        <v>2584.0072675890392</v>
      </c>
      <c r="BC23" s="63">
        <f>'Local multi year dist'!BU23</f>
        <v>2135.7667354362184</v>
      </c>
      <c r="BD23" s="63">
        <f>'Local multi year dist'!BV23</f>
        <v>2135.7667354362184</v>
      </c>
      <c r="BE23" s="63">
        <f>'Local multi year dist'!BW23</f>
        <v>1541.5142859267237</v>
      </c>
      <c r="BF23" s="63"/>
      <c r="BG23" s="63"/>
      <c r="BH23" s="63"/>
      <c r="BI23" s="63"/>
      <c r="BJ23" s="63"/>
      <c r="BK23" s="63"/>
      <c r="BL23" s="63"/>
      <c r="BM23" s="63"/>
      <c r="BN23" s="63"/>
      <c r="BO23" s="63"/>
      <c r="BP23" s="63"/>
      <c r="BQ23" s="63"/>
    </row>
    <row r="24" spans="1:69" x14ac:dyDescent="0.25">
      <c r="A24" t="str">
        <f>'Local multi year dist'!S24</f>
        <v>Carroll County</v>
      </c>
      <c r="B24" s="63">
        <f>'Local multi year dist'!T24</f>
        <v>17891.939331432939</v>
      </c>
      <c r="C24" s="63">
        <f>'Local multi year dist'!U24</f>
        <v>113265.73046566723</v>
      </c>
      <c r="D24" s="63">
        <f>'Local multi year dist'!V24</f>
        <v>139685.62808045343</v>
      </c>
      <c r="E24" s="63">
        <f>'Local multi year dist'!W24</f>
        <v>53569.129132656111</v>
      </c>
      <c r="F24" s="63">
        <f>'Local multi year dist'!X24</f>
        <v>57563.491083249886</v>
      </c>
      <c r="G24" s="63">
        <f>'Local multi year dist'!Y24</f>
        <v>61176.256320116641</v>
      </c>
      <c r="H24" s="63">
        <f>'Local multi year dist'!Z24</f>
        <v>46607.896954736483</v>
      </c>
      <c r="I24" s="63">
        <f>'Local multi year dist'!AA24</f>
        <v>65321.30709493265</v>
      </c>
      <c r="J24" s="63">
        <f>'Local multi year dist'!AB24</f>
        <v>65618.514829247855</v>
      </c>
      <c r="K24" s="63">
        <f>'Local multi year dist'!AC24</f>
        <v>61438.150872181432</v>
      </c>
      <c r="L24" s="63">
        <f>'Local multi year dist'!AD24</f>
        <v>57014.980188090449</v>
      </c>
      <c r="M24" s="63">
        <f>'Local multi year dist'!AE24</f>
        <v>52415.298133711338</v>
      </c>
      <c r="N24" s="63">
        <f>'Local multi year dist'!AF24</f>
        <v>40000.533094860963</v>
      </c>
      <c r="O24" s="63">
        <f>'Local multi year dist'!AG24</f>
        <v>40000.533094860963</v>
      </c>
      <c r="P24" s="63">
        <f>'Local multi year dist'!AH24</f>
        <v>40000.533094860963</v>
      </c>
      <c r="Q24" s="63">
        <f>'Local multi year dist'!AI24</f>
        <v>33234.638269912721</v>
      </c>
      <c r="R24" s="63">
        <f>'Local multi year dist'!AJ24</f>
        <v>33234.638269912721</v>
      </c>
      <c r="S24" s="63">
        <f>'Local multi year dist'!AK24</f>
        <v>23268.140164931683</v>
      </c>
      <c r="T24" s="63"/>
      <c r="U24" s="63">
        <f>'Local multi year dist'!AM24</f>
        <v>0</v>
      </c>
      <c r="V24" s="63">
        <f>'Local multi year dist'!AN24</f>
        <v>40985.485920016676</v>
      </c>
      <c r="W24" s="63">
        <f>'Local multi year dist'!AO24</f>
        <v>47442.808498194958</v>
      </c>
      <c r="X24" s="63">
        <f>'Local multi year dist'!AP24</f>
        <v>18474.902502152112</v>
      </c>
      <c r="Y24" s="63">
        <f>'Local multi year dist'!AQ24</f>
        <v>20269.884343487756</v>
      </c>
      <c r="Z24" s="63">
        <f>'Local multi year dist'!AR24</f>
        <v>21594.5649303389</v>
      </c>
      <c r="AA24" s="63">
        <f>'Local multi year dist'!AS24</f>
        <v>16252.833163032839</v>
      </c>
      <c r="AB24" s="63">
        <f>'Local multi year dist'!AT24</f>
        <v>23114.416881104768</v>
      </c>
      <c r="AC24" s="63">
        <f>'Local multi year dist'!AU24</f>
        <v>23253.145209795275</v>
      </c>
      <c r="AD24" s="63">
        <f>'Local multi year dist'!AV24</f>
        <v>21625.87265754657</v>
      </c>
      <c r="AE24" s="63">
        <f>'Local multi year dist'!AW24</f>
        <v>20004.515587755021</v>
      </c>
      <c r="AF24" s="63">
        <f>'Local multi year dist'!AX24</f>
        <v>18317.965501149345</v>
      </c>
      <c r="AG24" s="63">
        <f>'Local multi year dist'!AY24</f>
        <v>14301.423870933048</v>
      </c>
      <c r="AH24" s="63">
        <f>'Local multi year dist'!AZ24</f>
        <v>14301.423870933048</v>
      </c>
      <c r="AI24" s="63">
        <f>'Local multi year dist'!BA24</f>
        <v>14301.423870933048</v>
      </c>
      <c r="AJ24" s="63">
        <f>'Local multi year dist'!BB24</f>
        <v>11820.595768452027</v>
      </c>
      <c r="AK24" s="63">
        <f>'Local multi year dist'!BC24</f>
        <v>11820.595768452027</v>
      </c>
      <c r="AL24" s="63">
        <f>'Local multi year dist'!BD24</f>
        <v>8531.6513938082826</v>
      </c>
      <c r="AN24" s="63">
        <f>'Local multi year dist'!BF24</f>
        <v>0</v>
      </c>
      <c r="AO24" s="63">
        <f>'Local multi year dist'!BG24</f>
        <v>10246.371480004169</v>
      </c>
      <c r="AP24" s="63">
        <f>'Local multi year dist'!BH24</f>
        <v>11860.702124548739</v>
      </c>
      <c r="AQ24" s="63">
        <f>'Local multi year dist'!BI24</f>
        <v>4618.725625538028</v>
      </c>
      <c r="AR24" s="63">
        <f>'Local multi year dist'!BJ24</f>
        <v>5067.4710858719391</v>
      </c>
      <c r="AS24" s="63">
        <f>'Local multi year dist'!BK24</f>
        <v>5398.641232584725</v>
      </c>
      <c r="AT24" s="63">
        <f>'Local multi year dist'!BL24</f>
        <v>4063.2082907582098</v>
      </c>
      <c r="AU24" s="63">
        <f>'Local multi year dist'!BM24</f>
        <v>5778.6042202761919</v>
      </c>
      <c r="AV24" s="63">
        <f>'Local multi year dist'!BN24</f>
        <v>5813.2863024488188</v>
      </c>
      <c r="AW24" s="63">
        <f>'Local multi year dist'!BO24</f>
        <v>5406.4681643866425</v>
      </c>
      <c r="AX24" s="63">
        <f>'Local multi year dist'!BP24</f>
        <v>5001.1288969387551</v>
      </c>
      <c r="AY24" s="63">
        <f>'Local multi year dist'!BQ24</f>
        <v>4579.4913752873363</v>
      </c>
      <c r="AZ24" s="63">
        <f>'Local multi year dist'!BR24</f>
        <v>3575.3559677332619</v>
      </c>
      <c r="BA24" s="63">
        <f>'Local multi year dist'!BS24</f>
        <v>3575.3559677332619</v>
      </c>
      <c r="BB24" s="63">
        <f>'Local multi year dist'!BT24</f>
        <v>3575.3559677332619</v>
      </c>
      <c r="BC24" s="63">
        <f>'Local multi year dist'!BU24</f>
        <v>2955.1489421130068</v>
      </c>
      <c r="BD24" s="63">
        <f>'Local multi year dist'!BV24</f>
        <v>2955.1489421130068</v>
      </c>
      <c r="BE24" s="63">
        <f>'Local multi year dist'!BW24</f>
        <v>2132.9128484520706</v>
      </c>
      <c r="BF24" s="63"/>
      <c r="BG24" s="63"/>
      <c r="BH24" s="63"/>
      <c r="BI24" s="63"/>
      <c r="BJ24" s="63"/>
      <c r="BK24" s="63"/>
      <c r="BL24" s="63"/>
      <c r="BM24" s="63"/>
      <c r="BN24" s="63"/>
      <c r="BO24" s="63"/>
      <c r="BP24" s="63"/>
      <c r="BQ24" s="63"/>
    </row>
    <row r="25" spans="1:69" x14ac:dyDescent="0.25">
      <c r="A25" t="str">
        <f>'Local multi year dist'!S25</f>
        <v>Charles City County</v>
      </c>
      <c r="B25" s="63">
        <f>'Local multi year dist'!T25</f>
        <v>2968.4353890786469</v>
      </c>
      <c r="C25" s="63">
        <f>'Local multi year dist'!U25</f>
        <v>18791.814372712975</v>
      </c>
      <c r="D25" s="63">
        <f>'Local multi year dist'!V25</f>
        <v>23175.115567893412</v>
      </c>
      <c r="E25" s="63">
        <f>'Local multi year dist'!W25</f>
        <v>8887.605515190673</v>
      </c>
      <c r="F25" s="63">
        <f>'Local multi year dist'!X25</f>
        <v>9550.3064751755501</v>
      </c>
      <c r="G25" s="63">
        <f>'Local multi year dist'!Y25</f>
        <v>10149.697071292079</v>
      </c>
      <c r="H25" s="63">
        <f>'Local multi year dist'!Z25</f>
        <v>7732.6738129449168</v>
      </c>
      <c r="I25" s="63">
        <f>'Local multi year dist'!AA25</f>
        <v>10837.398677113826</v>
      </c>
      <c r="J25" s="63">
        <f>'Local multi year dist'!AB25</f>
        <v>10886.708142125213</v>
      </c>
      <c r="K25" s="63">
        <f>'Local multi year dist'!AC25</f>
        <v>10193.147758339193</v>
      </c>
      <c r="L25" s="63">
        <f>'Local multi year dist'!AD25</f>
        <v>9459.3035312059164</v>
      </c>
      <c r="M25" s="63">
        <f>'Local multi year dist'!AE25</f>
        <v>8696.1744630930189</v>
      </c>
      <c r="N25" s="63">
        <f>'Local multi year dist'!AF25</f>
        <v>6636.4520816473869</v>
      </c>
      <c r="O25" s="63">
        <f>'Local multi year dist'!AG25</f>
        <v>6636.4520816473869</v>
      </c>
      <c r="P25" s="63">
        <f>'Local multi year dist'!AH25</f>
        <v>6636.4520816473869</v>
      </c>
      <c r="Q25" s="63">
        <f>'Local multi year dist'!AI25</f>
        <v>5513.9286220537015</v>
      </c>
      <c r="R25" s="63">
        <f>'Local multi year dist'!AJ25</f>
        <v>5513.9286220537015</v>
      </c>
      <c r="S25" s="63">
        <f>'Local multi year dist'!AK25</f>
        <v>3860.3959819091201</v>
      </c>
      <c r="T25" s="63"/>
      <c r="U25" s="63">
        <f>'Local multi year dist'!AM25</f>
        <v>0</v>
      </c>
      <c r="V25" s="63">
        <f>'Local multi year dist'!AN25</f>
        <v>6799.8647094573125</v>
      </c>
      <c r="W25" s="63">
        <f>'Local multi year dist'!AO25</f>
        <v>7871.1932281096178</v>
      </c>
      <c r="X25" s="63">
        <f>'Local multi year dist'!AP25</f>
        <v>3065.154278766146</v>
      </c>
      <c r="Y25" s="63">
        <f>'Local multi year dist'!AQ25</f>
        <v>3362.9580842604687</v>
      </c>
      <c r="Z25" s="63">
        <f>'Local multi year dist'!AR25</f>
        <v>3582.7346361698628</v>
      </c>
      <c r="AA25" s="63">
        <f>'Local multi year dist'!AS25</f>
        <v>2696.4927747759029</v>
      </c>
      <c r="AB25" s="63">
        <f>'Local multi year dist'!AT25</f>
        <v>3834.8918916378366</v>
      </c>
      <c r="AC25" s="63">
        <f>'Local multi year dist'!AU25</f>
        <v>3857.9081825342159</v>
      </c>
      <c r="AD25" s="63">
        <f>'Local multi year dist'!AV25</f>
        <v>3587.9288727293178</v>
      </c>
      <c r="AE25" s="63">
        <f>'Local multi year dist'!AW25</f>
        <v>3318.9309952411741</v>
      </c>
      <c r="AF25" s="63">
        <f>'Local multi year dist'!AX25</f>
        <v>3039.1170035997779</v>
      </c>
      <c r="AG25" s="63">
        <f>'Local multi year dist'!AY25</f>
        <v>2372.7362331320737</v>
      </c>
      <c r="AH25" s="63">
        <f>'Local multi year dist'!AZ25</f>
        <v>2372.7362331320737</v>
      </c>
      <c r="AI25" s="63">
        <f>'Local multi year dist'!BA25</f>
        <v>2372.7362331320737</v>
      </c>
      <c r="AJ25" s="63">
        <f>'Local multi year dist'!BB25</f>
        <v>1961.1442979477226</v>
      </c>
      <c r="AK25" s="63">
        <f>'Local multi year dist'!BC25</f>
        <v>1961.1442979477226</v>
      </c>
      <c r="AL25" s="63">
        <f>'Local multi year dist'!BD25</f>
        <v>1415.4785267000107</v>
      </c>
      <c r="AN25" s="63">
        <f>'Local multi year dist'!BF25</f>
        <v>0</v>
      </c>
      <c r="AO25" s="63">
        <f>'Local multi year dist'!BG25</f>
        <v>1699.9661773643281</v>
      </c>
      <c r="AP25" s="63">
        <f>'Local multi year dist'!BH25</f>
        <v>1967.7983070274045</v>
      </c>
      <c r="AQ25" s="63">
        <f>'Local multi year dist'!BI25</f>
        <v>766.28856969153651</v>
      </c>
      <c r="AR25" s="63">
        <f>'Local multi year dist'!BJ25</f>
        <v>840.73952106511717</v>
      </c>
      <c r="AS25" s="63">
        <f>'Local multi year dist'!BK25</f>
        <v>895.68365904246571</v>
      </c>
      <c r="AT25" s="63">
        <f>'Local multi year dist'!BL25</f>
        <v>674.12319369397574</v>
      </c>
      <c r="AU25" s="63">
        <f>'Local multi year dist'!BM25</f>
        <v>958.72297290945914</v>
      </c>
      <c r="AV25" s="63">
        <f>'Local multi year dist'!BN25</f>
        <v>964.47704563355398</v>
      </c>
      <c r="AW25" s="63">
        <f>'Local multi year dist'!BO25</f>
        <v>896.98221818232946</v>
      </c>
      <c r="AX25" s="63">
        <f>'Local multi year dist'!BP25</f>
        <v>829.73274881029351</v>
      </c>
      <c r="AY25" s="63">
        <f>'Local multi year dist'!BQ25</f>
        <v>759.77925089994449</v>
      </c>
      <c r="AZ25" s="63">
        <f>'Local multi year dist'!BR25</f>
        <v>593.18405828301843</v>
      </c>
      <c r="BA25" s="63">
        <f>'Local multi year dist'!BS25</f>
        <v>593.18405828301843</v>
      </c>
      <c r="BB25" s="63">
        <f>'Local multi year dist'!BT25</f>
        <v>593.18405828301843</v>
      </c>
      <c r="BC25" s="63">
        <f>'Local multi year dist'!BU25</f>
        <v>490.28607448693066</v>
      </c>
      <c r="BD25" s="63">
        <f>'Local multi year dist'!BV25</f>
        <v>490.28607448693066</v>
      </c>
      <c r="BE25" s="63">
        <f>'Local multi year dist'!BW25</f>
        <v>353.86963167500267</v>
      </c>
      <c r="BF25" s="63"/>
      <c r="BG25" s="63"/>
      <c r="BH25" s="63"/>
      <c r="BI25" s="63"/>
      <c r="BJ25" s="63"/>
      <c r="BK25" s="63"/>
      <c r="BL25" s="63"/>
      <c r="BM25" s="63"/>
      <c r="BN25" s="63"/>
      <c r="BO25" s="63"/>
      <c r="BP25" s="63"/>
      <c r="BQ25" s="63"/>
    </row>
    <row r="26" spans="1:69" x14ac:dyDescent="0.25">
      <c r="A26" t="str">
        <f>'Local multi year dist'!S26</f>
        <v>Charlotte County</v>
      </c>
      <c r="B26" s="63">
        <f>'Local multi year dist'!T26</f>
        <v>5611.562790313058</v>
      </c>
      <c r="C26" s="63">
        <f>'Local multi year dist'!U26</f>
        <v>35524.251827868356</v>
      </c>
      <c r="D26" s="63">
        <f>'Local multi year dist'!V26</f>
        <v>43810.492443414936</v>
      </c>
      <c r="E26" s="63">
        <f>'Local multi year dist'!W26</f>
        <v>16801.226864333054</v>
      </c>
      <c r="F26" s="63">
        <f>'Local multi year dist'!X26</f>
        <v>18054.004021564735</v>
      </c>
      <c r="G26" s="63">
        <f>'Local multi year dist'!Y26</f>
        <v>19187.098573127489</v>
      </c>
      <c r="H26" s="63">
        <f>'Local multi year dist'!Z26</f>
        <v>14617.931317621895</v>
      </c>
      <c r="I26" s="63">
        <f>'Local multi year dist'!AA26</f>
        <v>20487.137225228875</v>
      </c>
      <c r="J26" s="63">
        <f>'Local multi year dist'!AB26</f>
        <v>20580.352378264102</v>
      </c>
      <c r="K26" s="63">
        <f>'Local multi year dist'!AC26</f>
        <v>19269.238228093265</v>
      </c>
      <c r="L26" s="63">
        <f>'Local multi year dist'!AD26</f>
        <v>17881.971058992003</v>
      </c>
      <c r="M26" s="63">
        <f>'Local multi year dist'!AE26</f>
        <v>16439.343505573102</v>
      </c>
      <c r="N26" s="63">
        <f>'Local multi year dist'!AF26</f>
        <v>12545.62174338821</v>
      </c>
      <c r="O26" s="63">
        <f>'Local multi year dist'!AG26</f>
        <v>12545.62174338821</v>
      </c>
      <c r="P26" s="63">
        <f>'Local multi year dist'!AH26</f>
        <v>12545.62174338821</v>
      </c>
      <c r="Q26" s="63">
        <f>'Local multi year dist'!AI26</f>
        <v>10423.591093745352</v>
      </c>
      <c r="R26" s="63">
        <f>'Local multi year dist'!AJ26</f>
        <v>10423.591093745352</v>
      </c>
      <c r="S26" s="63">
        <f>'Local multi year dist'!AK26</f>
        <v>7297.7348699103904</v>
      </c>
      <c r="T26" s="63"/>
      <c r="U26" s="63">
        <f>'Local multi year dist'!AM26</f>
        <v>0</v>
      </c>
      <c r="V26" s="63">
        <f>'Local multi year dist'!AN26</f>
        <v>12854.53876582341</v>
      </c>
      <c r="W26" s="63">
        <f>'Local multi year dist'!AO26</f>
        <v>14879.789938070235</v>
      </c>
      <c r="X26" s="63">
        <f>'Local multi year dist'!AP26</f>
        <v>5794.4012393113444</v>
      </c>
      <c r="Y26" s="63">
        <f>'Local multi year dist'!AQ26</f>
        <v>6357.3728168211592</v>
      </c>
      <c r="Z26" s="63">
        <f>'Local multi year dist'!AR26</f>
        <v>6772.8408190608361</v>
      </c>
      <c r="AA26" s="63">
        <f>'Local multi year dist'!AS26</f>
        <v>5097.4794920421173</v>
      </c>
      <c r="AB26" s="63">
        <f>'Local multi year dist'!AT26</f>
        <v>7249.5216581646773</v>
      </c>
      <c r="AC26" s="63">
        <f>'Local multi year dist'!AU26</f>
        <v>7293.0319067085175</v>
      </c>
      <c r="AD26" s="63">
        <f>'Local multi year dist'!AV26</f>
        <v>6782.6600607759692</v>
      </c>
      <c r="AE26" s="63">
        <f>'Local multi year dist'!AW26</f>
        <v>6274.143525250438</v>
      </c>
      <c r="AF26" s="63">
        <f>'Local multi year dist'!AX26</f>
        <v>5745.1800889968399</v>
      </c>
      <c r="AG26" s="63">
        <f>'Local multi year dist'!AY26</f>
        <v>4485.4465777017285</v>
      </c>
      <c r="AH26" s="63">
        <f>'Local multi year dist'!AZ26</f>
        <v>4485.4465777017285</v>
      </c>
      <c r="AI26" s="63">
        <f>'Local multi year dist'!BA26</f>
        <v>4485.4465777017285</v>
      </c>
      <c r="AJ26" s="63">
        <f>'Local multi year dist'!BB26</f>
        <v>3707.3686728326807</v>
      </c>
      <c r="AK26" s="63">
        <f>'Local multi year dist'!BC26</f>
        <v>3707.3686728326807</v>
      </c>
      <c r="AL26" s="63">
        <f>'Local multi year dist'!BD26</f>
        <v>2675.8361189671432</v>
      </c>
      <c r="AN26" s="63">
        <f>'Local multi year dist'!BF26</f>
        <v>0</v>
      </c>
      <c r="AO26" s="63">
        <f>'Local multi year dist'!BG26</f>
        <v>3213.6346914558526</v>
      </c>
      <c r="AP26" s="63">
        <f>'Local multi year dist'!BH26</f>
        <v>3719.9474845175587</v>
      </c>
      <c r="AQ26" s="63">
        <f>'Local multi year dist'!BI26</f>
        <v>1448.6003098278361</v>
      </c>
      <c r="AR26" s="63">
        <f>'Local multi year dist'!BJ26</f>
        <v>1589.3432042052898</v>
      </c>
      <c r="AS26" s="63">
        <f>'Local multi year dist'!BK26</f>
        <v>1693.210204765209</v>
      </c>
      <c r="AT26" s="63">
        <f>'Local multi year dist'!BL26</f>
        <v>1274.3698730105293</v>
      </c>
      <c r="AU26" s="63">
        <f>'Local multi year dist'!BM26</f>
        <v>1812.3804145411693</v>
      </c>
      <c r="AV26" s="63">
        <f>'Local multi year dist'!BN26</f>
        <v>1823.2579766771294</v>
      </c>
      <c r="AW26" s="63">
        <f>'Local multi year dist'!BO26</f>
        <v>1695.6650151939923</v>
      </c>
      <c r="AX26" s="63">
        <f>'Local multi year dist'!BP26</f>
        <v>1568.5358813126095</v>
      </c>
      <c r="AY26" s="63">
        <f>'Local multi year dist'!BQ26</f>
        <v>1436.29502224921</v>
      </c>
      <c r="AZ26" s="63">
        <f>'Local multi year dist'!BR26</f>
        <v>1121.3616444254321</v>
      </c>
      <c r="BA26" s="63">
        <f>'Local multi year dist'!BS26</f>
        <v>1121.3616444254321</v>
      </c>
      <c r="BB26" s="63">
        <f>'Local multi year dist'!BT26</f>
        <v>1121.3616444254321</v>
      </c>
      <c r="BC26" s="63">
        <f>'Local multi year dist'!BU26</f>
        <v>926.84216820817016</v>
      </c>
      <c r="BD26" s="63">
        <f>'Local multi year dist'!BV26</f>
        <v>926.84216820817016</v>
      </c>
      <c r="BE26" s="63">
        <f>'Local multi year dist'!BW26</f>
        <v>668.9590297417858</v>
      </c>
      <c r="BF26" s="63"/>
      <c r="BG26" s="63"/>
      <c r="BH26" s="63"/>
      <c r="BI26" s="63"/>
      <c r="BJ26" s="63"/>
      <c r="BK26" s="63"/>
      <c r="BL26" s="63"/>
      <c r="BM26" s="63"/>
      <c r="BN26" s="63"/>
      <c r="BO26" s="63"/>
      <c r="BP26" s="63"/>
      <c r="BQ26" s="63"/>
    </row>
    <row r="27" spans="1:69" x14ac:dyDescent="0.25">
      <c r="A27" t="str">
        <f>'Local multi year dist'!S27</f>
        <v>Charlottesville City</v>
      </c>
      <c r="B27" s="63">
        <f>'Local multi year dist'!T27</f>
        <v>18827.199796485114</v>
      </c>
      <c r="C27" s="63">
        <f>'Local multi year dist'!U27</f>
        <v>119186.43910364529</v>
      </c>
      <c r="D27" s="63">
        <f>'Local multi year dist'!V27</f>
        <v>146987.37682102257</v>
      </c>
      <c r="E27" s="63">
        <f>'Local multi year dist'!W27</f>
        <v>56369.333610044952</v>
      </c>
      <c r="F27" s="63">
        <f>'Local multi year dist'!X27</f>
        <v>60572.491753510665</v>
      </c>
      <c r="G27" s="63">
        <f>'Local multi year dist'!Y27</f>
        <v>64374.106082304548</v>
      </c>
      <c r="H27" s="63">
        <f>'Local multi year dist'!Z27</f>
        <v>49044.21884100679</v>
      </c>
      <c r="I27" s="63">
        <f>'Local multi year dist'!AA27</f>
        <v>68735.829965804121</v>
      </c>
      <c r="J27" s="63">
        <f>'Local multi year dist'!AB27</f>
        <v>69048.573558958538</v>
      </c>
      <c r="K27" s="63">
        <f>'Local multi year dist'!AC27</f>
        <v>64649.690576863635</v>
      </c>
      <c r="L27" s="63">
        <f>'Local multi year dist'!AD27</f>
        <v>59995.308697922446</v>
      </c>
      <c r="M27" s="63">
        <f>'Local multi year dist'!AE27</f>
        <v>55155.18871797352</v>
      </c>
      <c r="N27" s="63">
        <f>'Local multi year dist'!AF27</f>
        <v>42091.470052092322</v>
      </c>
      <c r="O27" s="63">
        <f>'Local multi year dist'!AG27</f>
        <v>42091.470052092322</v>
      </c>
      <c r="P27" s="63">
        <f>'Local multi year dist'!AH27</f>
        <v>42091.470052092322</v>
      </c>
      <c r="Q27" s="63">
        <f>'Local multi year dist'!AI27</f>
        <v>34971.903452203609</v>
      </c>
      <c r="R27" s="63">
        <f>'Local multi year dist'!AJ27</f>
        <v>34971.903452203609</v>
      </c>
      <c r="S27" s="63">
        <f>'Local multi year dist'!AK27</f>
        <v>24484.429309916744</v>
      </c>
      <c r="T27" s="63"/>
      <c r="U27" s="63">
        <f>'Local multi year dist'!AM27</f>
        <v>0</v>
      </c>
      <c r="V27" s="63">
        <f>'Local multi year dist'!AN27</f>
        <v>43127.909047653906</v>
      </c>
      <c r="W27" s="63">
        <f>'Local multi year dist'!AO27</f>
        <v>49922.773487873324</v>
      </c>
      <c r="X27" s="63">
        <f>'Local multi year dist'!AP27</f>
        <v>19440.636042037335</v>
      </c>
      <c r="Y27" s="63">
        <f>'Local multi year dist'!AQ27</f>
        <v>21329.446479624614</v>
      </c>
      <c r="Z27" s="63">
        <f>'Local multi year dist'!AR27</f>
        <v>22723.371733515702</v>
      </c>
      <c r="AA27" s="63">
        <f>'Local multi year dist'!AS27</f>
        <v>17102.413078373189</v>
      </c>
      <c r="AB27" s="63">
        <f>'Local multi year dist'!AT27</f>
        <v>24322.670490798879</v>
      </c>
      <c r="AC27" s="63">
        <f>'Local multi year dist'!AU27</f>
        <v>24468.650527580023</v>
      </c>
      <c r="AD27" s="63">
        <f>'Local multi year dist'!AV27</f>
        <v>22756.316001009229</v>
      </c>
      <c r="AE27" s="63">
        <f>'Local multi year dist'!AW27</f>
        <v>21050.20617529676</v>
      </c>
      <c r="AF27" s="63">
        <f>'Local multi year dist'!AX27</f>
        <v>19275.495515982151</v>
      </c>
      <c r="AG27" s="63">
        <f>'Local multi year dist'!AY27</f>
        <v>15048.998300550002</v>
      </c>
      <c r="AH27" s="63">
        <f>'Local multi year dist'!AZ27</f>
        <v>15048.998300550002</v>
      </c>
      <c r="AI27" s="63">
        <f>'Local multi year dist'!BA27</f>
        <v>15048.998300550002</v>
      </c>
      <c r="AJ27" s="63">
        <f>'Local multi year dist'!BB27</f>
        <v>12438.490547257472</v>
      </c>
      <c r="AK27" s="63">
        <f>'Local multi year dist'!BC27</f>
        <v>12438.490547257472</v>
      </c>
      <c r="AL27" s="63">
        <f>'Local multi year dist'!BD27</f>
        <v>8977.6240803028049</v>
      </c>
      <c r="AN27" s="63">
        <f>'Local multi year dist'!BF27</f>
        <v>0</v>
      </c>
      <c r="AO27" s="63">
        <f>'Local multi year dist'!BG27</f>
        <v>10781.977261913476</v>
      </c>
      <c r="AP27" s="63">
        <f>'Local multi year dist'!BH27</f>
        <v>12480.693371968331</v>
      </c>
      <c r="AQ27" s="63">
        <f>'Local multi year dist'!BI27</f>
        <v>4860.1590105093337</v>
      </c>
      <c r="AR27" s="63">
        <f>'Local multi year dist'!BJ27</f>
        <v>5332.3616199061535</v>
      </c>
      <c r="AS27" s="63">
        <f>'Local multi year dist'!BK27</f>
        <v>5680.8429333789254</v>
      </c>
      <c r="AT27" s="63">
        <f>'Local multi year dist'!BL27</f>
        <v>4275.6032695932972</v>
      </c>
      <c r="AU27" s="63">
        <f>'Local multi year dist'!BM27</f>
        <v>6080.6676226997197</v>
      </c>
      <c r="AV27" s="63">
        <f>'Local multi year dist'!BN27</f>
        <v>6117.1626318950057</v>
      </c>
      <c r="AW27" s="63">
        <f>'Local multi year dist'!BO27</f>
        <v>5689.0790002523072</v>
      </c>
      <c r="AX27" s="63">
        <f>'Local multi year dist'!BP27</f>
        <v>5262.55154382419</v>
      </c>
      <c r="AY27" s="63">
        <f>'Local multi year dist'!BQ27</f>
        <v>4818.8738789955378</v>
      </c>
      <c r="AZ27" s="63">
        <f>'Local multi year dist'!BR27</f>
        <v>3762.2495751375004</v>
      </c>
      <c r="BA27" s="63">
        <f>'Local multi year dist'!BS27</f>
        <v>3762.2495751375004</v>
      </c>
      <c r="BB27" s="63">
        <f>'Local multi year dist'!BT27</f>
        <v>3762.2495751375004</v>
      </c>
      <c r="BC27" s="63">
        <f>'Local multi year dist'!BU27</f>
        <v>3109.622636814368</v>
      </c>
      <c r="BD27" s="63">
        <f>'Local multi year dist'!BV27</f>
        <v>3109.622636814368</v>
      </c>
      <c r="BE27" s="63">
        <f>'Local multi year dist'!BW27</f>
        <v>2244.4060200757012</v>
      </c>
      <c r="BF27" s="63"/>
      <c r="BG27" s="63"/>
      <c r="BH27" s="63"/>
      <c r="BI27" s="63"/>
      <c r="BJ27" s="63"/>
      <c r="BK27" s="63"/>
      <c r="BL27" s="63"/>
      <c r="BM27" s="63"/>
      <c r="BN27" s="63"/>
      <c r="BO27" s="63"/>
      <c r="BP27" s="63"/>
      <c r="BQ27" s="63"/>
    </row>
    <row r="28" spans="1:69" x14ac:dyDescent="0.25">
      <c r="A28" t="str">
        <f>'Local multi year dist'!S28</f>
        <v>Chesapeake City</v>
      </c>
      <c r="B28" s="63">
        <f>'Local multi year dist'!T28</f>
        <v>118412.10757530163</v>
      </c>
      <c r="C28" s="63">
        <f>'Local multi year dist'!U28</f>
        <v>749613.19799096126</v>
      </c>
      <c r="D28" s="63">
        <f>'Local multi year dist'!V28</f>
        <v>924464.88402336452</v>
      </c>
      <c r="E28" s="63">
        <f>'Local multi year dist'!W28</f>
        <v>354530.2364415786</v>
      </c>
      <c r="F28" s="63">
        <f>'Local multi year dist'!X28</f>
        <v>380965.6500782356</v>
      </c>
      <c r="G28" s="63">
        <f>'Local multi year dist'!Y28</f>
        <v>404875.58728222648</v>
      </c>
      <c r="H28" s="63">
        <f>'Local multi year dist'!Z28</f>
        <v>308459.53620952868</v>
      </c>
      <c r="I28" s="63">
        <f>'Local multi year dist'!AA28</f>
        <v>432308.28695555421</v>
      </c>
      <c r="J28" s="63">
        <f>'Local multi year dist'!AB28</f>
        <v>434275.26177902217</v>
      </c>
      <c r="K28" s="63">
        <f>'Local multi year dist'!AC28</f>
        <v>406608.85304498253</v>
      </c>
      <c r="L28" s="63">
        <f>'Local multi year dist'!AD28</f>
        <v>377335.50524481677</v>
      </c>
      <c r="M28" s="63">
        <f>'Local multi year dist'!AE28</f>
        <v>346893.97310310777</v>
      </c>
      <c r="N28" s="63">
        <f>'Local multi year dist'!AF28</f>
        <v>264730.80084598891</v>
      </c>
      <c r="O28" s="63">
        <f>'Local multi year dist'!AG28</f>
        <v>264730.80084598891</v>
      </c>
      <c r="P28" s="63">
        <f>'Local multi year dist'!AH28</f>
        <v>264730.80084598891</v>
      </c>
      <c r="Q28" s="63">
        <f>'Local multi year dist'!AI28</f>
        <v>219952.87873178598</v>
      </c>
      <c r="R28" s="63">
        <f>'Local multi year dist'!AJ28</f>
        <v>219952.87873178598</v>
      </c>
      <c r="S28" s="63">
        <f>'Local multi year dist'!AK28</f>
        <v>153992.78218245693</v>
      </c>
      <c r="T28" s="63"/>
      <c r="U28" s="63">
        <f>'Local multi year dist'!AM28</f>
        <v>0</v>
      </c>
      <c r="V28" s="63">
        <f>'Local multi year dist'!AN28</f>
        <v>271249.39772520127</v>
      </c>
      <c r="W28" s="63">
        <f>'Local multi year dist'!AO28</f>
        <v>313985.13260623568</v>
      </c>
      <c r="X28" s="63">
        <f>'Local multi year dist'!AP28</f>
        <v>122270.26383242488</v>
      </c>
      <c r="Y28" s="63">
        <f>'Local multi year dist'!AQ28</f>
        <v>134149.78001871897</v>
      </c>
      <c r="Z28" s="63">
        <f>'Local multi year dist'!AR28</f>
        <v>142916.75699351562</v>
      </c>
      <c r="AA28" s="63">
        <f>'Local multi year dist'!AS28</f>
        <v>107564.20493352642</v>
      </c>
      <c r="AB28" s="63">
        <f>'Local multi year dist'!AT28</f>
        <v>152975.41354040246</v>
      </c>
      <c r="AC28" s="63">
        <f>'Local multi year dist'!AU28</f>
        <v>153893.5428430087</v>
      </c>
      <c r="AD28" s="63">
        <f>'Local multi year dist'!AV28</f>
        <v>143123.95722449003</v>
      </c>
      <c r="AE28" s="63">
        <f>'Local multi year dist'!AW28</f>
        <v>132393.52134441503</v>
      </c>
      <c r="AF28" s="63">
        <f>'Local multi year dist'!AX28</f>
        <v>121231.62622578839</v>
      </c>
      <c r="AG28" s="63">
        <f>'Local multi year dist'!AY28</f>
        <v>94649.423436720535</v>
      </c>
      <c r="AH28" s="63">
        <f>'Local multi year dist'!AZ28</f>
        <v>94649.423436720535</v>
      </c>
      <c r="AI28" s="63">
        <f>'Local multi year dist'!BA28</f>
        <v>94649.423436720535</v>
      </c>
      <c r="AJ28" s="63">
        <f>'Local multi year dist'!BB28</f>
        <v>78230.851994846133</v>
      </c>
      <c r="AK28" s="63">
        <f>'Local multi year dist'!BC28</f>
        <v>78230.851994846133</v>
      </c>
      <c r="AL28" s="63">
        <f>'Local multi year dist'!BD28</f>
        <v>56464.020133567537</v>
      </c>
      <c r="AN28" s="63">
        <f>'Local multi year dist'!BF28</f>
        <v>0</v>
      </c>
      <c r="AO28" s="63">
        <f>'Local multi year dist'!BG28</f>
        <v>67812.349431300318</v>
      </c>
      <c r="AP28" s="63">
        <f>'Local multi year dist'!BH28</f>
        <v>78496.283151558921</v>
      </c>
      <c r="AQ28" s="63">
        <f>'Local multi year dist'!BI28</f>
        <v>30567.565958106221</v>
      </c>
      <c r="AR28" s="63">
        <f>'Local multi year dist'!BJ28</f>
        <v>33537.445004679743</v>
      </c>
      <c r="AS28" s="63">
        <f>'Local multi year dist'!BK28</f>
        <v>35729.189248378905</v>
      </c>
      <c r="AT28" s="63">
        <f>'Local multi year dist'!BL28</f>
        <v>26891.051233381604</v>
      </c>
      <c r="AU28" s="63">
        <f>'Local multi year dist'!BM28</f>
        <v>38243.853385100614</v>
      </c>
      <c r="AV28" s="63">
        <f>'Local multi year dist'!BN28</f>
        <v>38473.385710752176</v>
      </c>
      <c r="AW28" s="63">
        <f>'Local multi year dist'!BO28</f>
        <v>35780.989306122508</v>
      </c>
      <c r="AX28" s="63">
        <f>'Local multi year dist'!BP28</f>
        <v>33098.380336103757</v>
      </c>
      <c r="AY28" s="63">
        <f>'Local multi year dist'!BQ28</f>
        <v>30307.906556447098</v>
      </c>
      <c r="AZ28" s="63">
        <f>'Local multi year dist'!BR28</f>
        <v>23662.355859180134</v>
      </c>
      <c r="BA28" s="63">
        <f>'Local multi year dist'!BS28</f>
        <v>23662.355859180134</v>
      </c>
      <c r="BB28" s="63">
        <f>'Local multi year dist'!BT28</f>
        <v>23662.355859180134</v>
      </c>
      <c r="BC28" s="63">
        <f>'Local multi year dist'!BU28</f>
        <v>19557.712998711533</v>
      </c>
      <c r="BD28" s="63">
        <f>'Local multi year dist'!BV28</f>
        <v>19557.712998711533</v>
      </c>
      <c r="BE28" s="63">
        <f>'Local multi year dist'!BW28</f>
        <v>14116.005033391884</v>
      </c>
      <c r="BF28" s="63"/>
      <c r="BG28" s="63"/>
      <c r="BH28" s="63"/>
      <c r="BI28" s="63"/>
      <c r="BJ28" s="63"/>
      <c r="BK28" s="63"/>
      <c r="BL28" s="63"/>
      <c r="BM28" s="63"/>
      <c r="BN28" s="63"/>
      <c r="BO28" s="63"/>
      <c r="BP28" s="63"/>
      <c r="BQ28" s="63"/>
    </row>
    <row r="29" spans="1:69" x14ac:dyDescent="0.25">
      <c r="A29" t="str">
        <f>'Local multi year dist'!S29</f>
        <v>Chesterfield County</v>
      </c>
      <c r="B29" s="63">
        <f>'Local multi year dist'!T29</f>
        <v>166232.38178840419</v>
      </c>
      <c r="C29" s="63">
        <f>'Local multi year dist'!U29</f>
        <v>1052341.6048719264</v>
      </c>
      <c r="D29" s="63">
        <f>'Local multi year dist'!V29</f>
        <v>1297806.4718020309</v>
      </c>
      <c r="E29" s="63">
        <f>'Local multi year dist'!W29</f>
        <v>497705.90885067766</v>
      </c>
      <c r="F29" s="63">
        <f>'Local multi year dist'!X29</f>
        <v>534817.16260983073</v>
      </c>
      <c r="G29" s="63">
        <f>'Local multi year dist'!Y29</f>
        <v>568383.03599235637</v>
      </c>
      <c r="H29" s="63">
        <f>'Local multi year dist'!Z29</f>
        <v>433029.7335249153</v>
      </c>
      <c r="I29" s="63">
        <f>'Local multi year dist'!AA29</f>
        <v>606894.32591837423</v>
      </c>
      <c r="J29" s="63">
        <f>'Local multi year dist'!AB29</f>
        <v>609655.65595901187</v>
      </c>
      <c r="K29" s="63">
        <f>'Local multi year dist'!AC29</f>
        <v>570816.27446699468</v>
      </c>
      <c r="L29" s="63">
        <f>'Local multi year dist'!AD29</f>
        <v>529720.99774753128</v>
      </c>
      <c r="M29" s="63">
        <f>'Local multi year dist'!AE29</f>
        <v>486985.76993320894</v>
      </c>
      <c r="N29" s="63">
        <f>'Local multi year dist'!AF29</f>
        <v>371641.31657225359</v>
      </c>
      <c r="O29" s="63">
        <f>'Local multi year dist'!AG29</f>
        <v>371641.31657225359</v>
      </c>
      <c r="P29" s="63">
        <f>'Local multi year dist'!AH29</f>
        <v>371641.31657225359</v>
      </c>
      <c r="Q29" s="63">
        <f>'Local multi year dist'!AI29</f>
        <v>308780.00283500721</v>
      </c>
      <c r="R29" s="63">
        <f>'Local multi year dist'!AJ29</f>
        <v>308780.00283500721</v>
      </c>
      <c r="S29" s="63">
        <f>'Local multi year dist'!AK29</f>
        <v>216182.17498691069</v>
      </c>
      <c r="T29" s="63"/>
      <c r="U29" s="63">
        <f>'Local multi year dist'!AM29</f>
        <v>0</v>
      </c>
      <c r="V29" s="63">
        <f>'Local multi year dist'!AN29</f>
        <v>380792.42372960947</v>
      </c>
      <c r="W29" s="63">
        <f>'Local multi year dist'!AO29</f>
        <v>440786.82077413856</v>
      </c>
      <c r="X29" s="63">
        <f>'Local multi year dist'!AP29</f>
        <v>171648.63961090418</v>
      </c>
      <c r="Y29" s="63">
        <f>'Local multi year dist'!AQ29</f>
        <v>188325.65271858624</v>
      </c>
      <c r="Z29" s="63">
        <f>'Local multi year dist'!AR29</f>
        <v>200633.1396255123</v>
      </c>
      <c r="AA29" s="63">
        <f>'Local multi year dist'!AS29</f>
        <v>151003.59538745054</v>
      </c>
      <c r="AB29" s="63">
        <f>'Local multi year dist'!AT29</f>
        <v>214753.94593171883</v>
      </c>
      <c r="AC29" s="63">
        <f>'Local multi year dist'!AU29</f>
        <v>216042.85822191607</v>
      </c>
      <c r="AD29" s="63">
        <f>'Local multi year dist'!AV29</f>
        <v>200924.01687284178</v>
      </c>
      <c r="AE29" s="63">
        <f>'Local multi year dist'!AW29</f>
        <v>185860.13573350574</v>
      </c>
      <c r="AF29" s="63">
        <f>'Local multi year dist'!AX29</f>
        <v>170190.55220158756</v>
      </c>
      <c r="AG29" s="63">
        <f>'Local multi year dist'!AY29</f>
        <v>132873.22905539614</v>
      </c>
      <c r="AH29" s="63">
        <f>'Local multi year dist'!AZ29</f>
        <v>132873.22905539614</v>
      </c>
      <c r="AI29" s="63">
        <f>'Local multi year dist'!BA29</f>
        <v>132873.22905539614</v>
      </c>
      <c r="AJ29" s="63">
        <f>'Local multi year dist'!BB29</f>
        <v>109824.08068507245</v>
      </c>
      <c r="AK29" s="63">
        <f>'Local multi year dist'!BC29</f>
        <v>109824.08068507245</v>
      </c>
      <c r="AL29" s="63">
        <f>'Local multi year dist'!BD29</f>
        <v>79266.797495200575</v>
      </c>
      <c r="AN29" s="63">
        <f>'Local multi year dist'!BF29</f>
        <v>0</v>
      </c>
      <c r="AO29" s="63">
        <f>'Local multi year dist'!BG29</f>
        <v>95198.105932402366</v>
      </c>
      <c r="AP29" s="63">
        <f>'Local multi year dist'!BH29</f>
        <v>110196.70519353464</v>
      </c>
      <c r="AQ29" s="63">
        <f>'Local multi year dist'!BI29</f>
        <v>42912.159902726045</v>
      </c>
      <c r="AR29" s="63">
        <f>'Local multi year dist'!BJ29</f>
        <v>47081.413179646559</v>
      </c>
      <c r="AS29" s="63">
        <f>'Local multi year dist'!BK29</f>
        <v>50158.284906378074</v>
      </c>
      <c r="AT29" s="63">
        <f>'Local multi year dist'!BL29</f>
        <v>37750.898846862634</v>
      </c>
      <c r="AU29" s="63">
        <f>'Local multi year dist'!BM29</f>
        <v>53688.486482929708</v>
      </c>
      <c r="AV29" s="63">
        <f>'Local multi year dist'!BN29</f>
        <v>54010.714555479019</v>
      </c>
      <c r="AW29" s="63">
        <f>'Local multi year dist'!BO29</f>
        <v>50231.004218210444</v>
      </c>
      <c r="AX29" s="63">
        <f>'Local multi year dist'!BP29</f>
        <v>46465.033933376435</v>
      </c>
      <c r="AY29" s="63">
        <f>'Local multi year dist'!BQ29</f>
        <v>42547.63805039689</v>
      </c>
      <c r="AZ29" s="63">
        <f>'Local multi year dist'!BR29</f>
        <v>33218.307263849034</v>
      </c>
      <c r="BA29" s="63">
        <f>'Local multi year dist'!BS29</f>
        <v>33218.307263849034</v>
      </c>
      <c r="BB29" s="63">
        <f>'Local multi year dist'!BT29</f>
        <v>33218.307263849034</v>
      </c>
      <c r="BC29" s="63">
        <f>'Local multi year dist'!BU29</f>
        <v>27456.020171268112</v>
      </c>
      <c r="BD29" s="63">
        <f>'Local multi year dist'!BV29</f>
        <v>27456.020171268112</v>
      </c>
      <c r="BE29" s="63">
        <f>'Local multi year dist'!BW29</f>
        <v>19816.699373800144</v>
      </c>
      <c r="BF29" s="63"/>
      <c r="BG29" s="63"/>
      <c r="BH29" s="63"/>
      <c r="BI29" s="63"/>
      <c r="BJ29" s="63"/>
      <c r="BK29" s="63"/>
      <c r="BL29" s="63"/>
      <c r="BM29" s="63"/>
      <c r="BN29" s="63"/>
      <c r="BO29" s="63"/>
      <c r="BP29" s="63"/>
      <c r="BQ29" s="63"/>
    </row>
    <row r="30" spans="1:69" x14ac:dyDescent="0.25">
      <c r="A30" t="str">
        <f>'Local multi year dist'!S30</f>
        <v>Clarke County</v>
      </c>
      <c r="B30" s="63">
        <f>'Local multi year dist'!T30</f>
        <v>5082.937310066176</v>
      </c>
      <c r="C30" s="63">
        <f>'Local multi year dist'!U30</f>
        <v>32177.764336837281</v>
      </c>
      <c r="D30" s="63">
        <f>'Local multi year dist'!V30</f>
        <v>39683.417068310635</v>
      </c>
      <c r="E30" s="63">
        <f>'Local multi year dist'!W30</f>
        <v>15218.502594504578</v>
      </c>
      <c r="F30" s="63">
        <f>'Local multi year dist'!X30</f>
        <v>16353.2645122869</v>
      </c>
      <c r="G30" s="63">
        <f>'Local multi year dist'!Y30</f>
        <v>17379.618272760406</v>
      </c>
      <c r="H30" s="63">
        <f>'Local multi year dist'!Z30</f>
        <v>13240.8798166865</v>
      </c>
      <c r="I30" s="63">
        <f>'Local multi year dist'!AA30</f>
        <v>18557.189515605864</v>
      </c>
      <c r="J30" s="63">
        <f>'Local multi year dist'!AB30</f>
        <v>18641.623531036323</v>
      </c>
      <c r="K30" s="63">
        <f>'Local multi year dist'!AC30</f>
        <v>17454.020134142451</v>
      </c>
      <c r="L30" s="63">
        <f>'Local multi year dist'!AD30</f>
        <v>16197.437553434787</v>
      </c>
      <c r="M30" s="63">
        <f>'Local multi year dist'!AE30</f>
        <v>14890.709697077085</v>
      </c>
      <c r="N30" s="63">
        <f>'Local multi year dist'!AF30</f>
        <v>11363.787811040045</v>
      </c>
      <c r="O30" s="63">
        <f>'Local multi year dist'!AG30</f>
        <v>11363.787811040045</v>
      </c>
      <c r="P30" s="63">
        <f>'Local multi year dist'!AH30</f>
        <v>11363.787811040045</v>
      </c>
      <c r="Q30" s="63">
        <f>'Local multi year dist'!AI30</f>
        <v>9441.658599407021</v>
      </c>
      <c r="R30" s="63">
        <f>'Local multi year dist'!AJ30</f>
        <v>9441.658599407021</v>
      </c>
      <c r="S30" s="63">
        <f>'Local multi year dist'!AK30</f>
        <v>6610.2670923101368</v>
      </c>
      <c r="T30" s="63"/>
      <c r="U30" s="63">
        <f>'Local multi year dist'!AM30</f>
        <v>0</v>
      </c>
      <c r="V30" s="63">
        <f>'Local multi year dist'!AN30</f>
        <v>11643.603954550192</v>
      </c>
      <c r="W30" s="63">
        <f>'Local multi year dist'!AO30</f>
        <v>13478.070596078112</v>
      </c>
      <c r="X30" s="63">
        <f>'Local multi year dist'!AP30</f>
        <v>5248.551847202305</v>
      </c>
      <c r="Y30" s="63">
        <f>'Local multi year dist'!AQ30</f>
        <v>5758.4898703090212</v>
      </c>
      <c r="Z30" s="63">
        <f>'Local multi year dist'!AR30</f>
        <v>6134.8195824826416</v>
      </c>
      <c r="AA30" s="63">
        <f>'Local multi year dist'!AS30</f>
        <v>4617.2821485888744</v>
      </c>
      <c r="AB30" s="63">
        <f>'Local multi year dist'!AT30</f>
        <v>6566.5957048593091</v>
      </c>
      <c r="AC30" s="63">
        <f>'Local multi year dist'!AU30</f>
        <v>6606.0071618736574</v>
      </c>
      <c r="AD30" s="63">
        <f>'Local multi year dist'!AV30</f>
        <v>6143.7138231666395</v>
      </c>
      <c r="AE30" s="63">
        <f>'Local multi year dist'!AW30</f>
        <v>5683.1010192485855</v>
      </c>
      <c r="AF30" s="63">
        <f>'Local multi year dist'!AX30</f>
        <v>5203.9674719174282</v>
      </c>
      <c r="AG30" s="63">
        <f>'Local multi year dist'!AY30</f>
        <v>4062.9045087877976</v>
      </c>
      <c r="AH30" s="63">
        <f>'Local multi year dist'!AZ30</f>
        <v>4062.9045087877976</v>
      </c>
      <c r="AI30" s="63">
        <f>'Local multi year dist'!BA30</f>
        <v>4062.9045087877976</v>
      </c>
      <c r="AJ30" s="63">
        <f>'Local multi year dist'!BB30</f>
        <v>3358.1237978556892</v>
      </c>
      <c r="AK30" s="63">
        <f>'Local multi year dist'!BC30</f>
        <v>3358.1237978556892</v>
      </c>
      <c r="AL30" s="63">
        <f>'Local multi year dist'!BD30</f>
        <v>2423.7646005137167</v>
      </c>
      <c r="AN30" s="63">
        <f>'Local multi year dist'!BF30</f>
        <v>0</v>
      </c>
      <c r="AO30" s="63">
        <f>'Local multi year dist'!BG30</f>
        <v>2910.9009886375479</v>
      </c>
      <c r="AP30" s="63">
        <f>'Local multi year dist'!BH30</f>
        <v>3369.5176490195281</v>
      </c>
      <c r="AQ30" s="63">
        <f>'Local multi year dist'!BI30</f>
        <v>1312.1379618005762</v>
      </c>
      <c r="AR30" s="63">
        <f>'Local multi year dist'!BJ30</f>
        <v>1439.6224675772553</v>
      </c>
      <c r="AS30" s="63">
        <f>'Local multi year dist'!BK30</f>
        <v>1533.7048956206604</v>
      </c>
      <c r="AT30" s="63">
        <f>'Local multi year dist'!BL30</f>
        <v>1154.3205371472186</v>
      </c>
      <c r="AU30" s="63">
        <f>'Local multi year dist'!BM30</f>
        <v>1641.6489262148273</v>
      </c>
      <c r="AV30" s="63">
        <f>'Local multi year dist'!BN30</f>
        <v>1651.5017904684144</v>
      </c>
      <c r="AW30" s="63">
        <f>'Local multi year dist'!BO30</f>
        <v>1535.9284557916599</v>
      </c>
      <c r="AX30" s="63">
        <f>'Local multi year dist'!BP30</f>
        <v>1420.7752548121464</v>
      </c>
      <c r="AY30" s="63">
        <f>'Local multi year dist'!BQ30</f>
        <v>1300.991867979357</v>
      </c>
      <c r="AZ30" s="63">
        <f>'Local multi year dist'!BR30</f>
        <v>1015.7261271969494</v>
      </c>
      <c r="BA30" s="63">
        <f>'Local multi year dist'!BS30</f>
        <v>1015.7261271969494</v>
      </c>
      <c r="BB30" s="63">
        <f>'Local multi year dist'!BT30</f>
        <v>1015.7261271969494</v>
      </c>
      <c r="BC30" s="63">
        <f>'Local multi year dist'!BU30</f>
        <v>839.5309494639223</v>
      </c>
      <c r="BD30" s="63">
        <f>'Local multi year dist'!BV30</f>
        <v>839.5309494639223</v>
      </c>
      <c r="BE30" s="63">
        <f>'Local multi year dist'!BW30</f>
        <v>605.94115012842917</v>
      </c>
      <c r="BF30" s="63"/>
      <c r="BG30" s="63"/>
      <c r="BH30" s="63"/>
      <c r="BI30" s="63"/>
      <c r="BJ30" s="63"/>
      <c r="BK30" s="63"/>
      <c r="BL30" s="63"/>
      <c r="BM30" s="63"/>
      <c r="BN30" s="63"/>
      <c r="BO30" s="63"/>
      <c r="BP30" s="63"/>
      <c r="BQ30" s="63"/>
    </row>
    <row r="31" spans="1:69" x14ac:dyDescent="0.25">
      <c r="A31" t="str">
        <f>'Local multi year dist'!S31</f>
        <v>Colonial Heights City</v>
      </c>
      <c r="B31" s="63">
        <f>'Local multi year dist'!T31</f>
        <v>11507.770069989821</v>
      </c>
      <c r="C31" s="63">
        <f>'Local multi year dist'!U31</f>
        <v>72850.458458599605</v>
      </c>
      <c r="D31" s="63">
        <f>'Local multi year dist'!V31</f>
        <v>89843.256242655276</v>
      </c>
      <c r="E31" s="63">
        <f>'Local multi year dist'!W31</f>
        <v>34454.689873958363</v>
      </c>
      <c r="F31" s="63">
        <f>'Local multi year dist'!X31</f>
        <v>37023.79085581754</v>
      </c>
      <c r="G31" s="63">
        <f>'Local multi year dist'!Y31</f>
        <v>39347.455769529559</v>
      </c>
      <c r="H31" s="63">
        <f>'Local multi year dist'!Z31</f>
        <v>29977.351904978234</v>
      </c>
      <c r="I31" s="63">
        <f>'Local multi year dist'!AA31</f>
        <v>42013.47706333168</v>
      </c>
      <c r="J31" s="63">
        <f>'Local multi year dist'!AB31</f>
        <v>42204.635674266239</v>
      </c>
      <c r="K31" s="63">
        <f>'Local multi year dist'!AC31</f>
        <v>39515.901583698513</v>
      </c>
      <c r="L31" s="63">
        <f>'Local multi year dist'!AD31</f>
        <v>36670.998620976352</v>
      </c>
      <c r="M31" s="63">
        <f>'Local multi year dist'!AE31</f>
        <v>33712.566754182517</v>
      </c>
      <c r="N31" s="63">
        <f>'Local multi year dist'!AF31</f>
        <v>25727.615604194663</v>
      </c>
      <c r="O31" s="63">
        <f>'Local multi year dist'!AG31</f>
        <v>25727.615604194663</v>
      </c>
      <c r="P31" s="63">
        <f>'Local multi year dist'!AH31</f>
        <v>25727.615604194663</v>
      </c>
      <c r="Q31" s="63">
        <f>'Local multi year dist'!AI31</f>
        <v>21375.915069057497</v>
      </c>
      <c r="R31" s="63">
        <f>'Local multi year dist'!AJ31</f>
        <v>21375.915069057497</v>
      </c>
      <c r="S31" s="63">
        <f>'Local multi year dist'!AK31</f>
        <v>14965.644696990148</v>
      </c>
      <c r="T31" s="63"/>
      <c r="U31" s="63">
        <f>'Local multi year dist'!AM31</f>
        <v>0</v>
      </c>
      <c r="V31" s="63">
        <f>'Local multi year dist'!AN31</f>
        <v>26361.119353101632</v>
      </c>
      <c r="W31" s="63">
        <f>'Local multi year dist'!AO31</f>
        <v>30514.351829520845</v>
      </c>
      <c r="X31" s="63">
        <f>'Local multi year dist'!AP31</f>
        <v>11882.721382066018</v>
      </c>
      <c r="Y31" s="63">
        <f>'Local multi year dist'!AQ31</f>
        <v>13037.221066379625</v>
      </c>
      <c r="Z31" s="63">
        <f>'Local multi year dist'!AR31</f>
        <v>13889.2315347407</v>
      </c>
      <c r="AA31" s="63">
        <f>'Local multi year dist'!AS31</f>
        <v>10453.526784405212</v>
      </c>
      <c r="AB31" s="63">
        <f>'Local multi year dist'!AT31</f>
        <v>14866.772675801476</v>
      </c>
      <c r="AC31" s="63">
        <f>'Local multi year dist'!AU31</f>
        <v>14956.000214481959</v>
      </c>
      <c r="AD31" s="63">
        <f>'Local multi year dist'!AV31</f>
        <v>13909.368095649272</v>
      </c>
      <c r="AE31" s="63">
        <f>'Local multi year dist'!AW31</f>
        <v>12866.540707578797</v>
      </c>
      <c r="AF31" s="63">
        <f>'Local multi year dist'!AX31</f>
        <v>11781.782356421056</v>
      </c>
      <c r="AG31" s="63">
        <f>'Local multi year dist'!AY31</f>
        <v>9198.4158078955734</v>
      </c>
      <c r="AH31" s="63">
        <f>'Local multi year dist'!AZ31</f>
        <v>9198.4158078955734</v>
      </c>
      <c r="AI31" s="63">
        <f>'Local multi year dist'!BA31</f>
        <v>9198.4158078955734</v>
      </c>
      <c r="AJ31" s="63">
        <f>'Local multi year dist'!BB31</f>
        <v>7602.7922783452805</v>
      </c>
      <c r="AK31" s="63">
        <f>'Local multi year dist'!BC31</f>
        <v>7602.7922783452805</v>
      </c>
      <c r="AL31" s="63">
        <f>'Local multi year dist'!BD31</f>
        <v>5487.4030555630543</v>
      </c>
      <c r="AN31" s="63">
        <f>'Local multi year dist'!BF31</f>
        <v>0</v>
      </c>
      <c r="AO31" s="63">
        <f>'Local multi year dist'!BG31</f>
        <v>6590.2798382754081</v>
      </c>
      <c r="AP31" s="63">
        <f>'Local multi year dist'!BH31</f>
        <v>7628.5879573802113</v>
      </c>
      <c r="AQ31" s="63">
        <f>'Local multi year dist'!BI31</f>
        <v>2970.6803455165045</v>
      </c>
      <c r="AR31" s="63">
        <f>'Local multi year dist'!BJ31</f>
        <v>3259.3052665949062</v>
      </c>
      <c r="AS31" s="63">
        <f>'Local multi year dist'!BK31</f>
        <v>3472.3078836851751</v>
      </c>
      <c r="AT31" s="63">
        <f>'Local multi year dist'!BL31</f>
        <v>2613.3816961013031</v>
      </c>
      <c r="AU31" s="63">
        <f>'Local multi year dist'!BM31</f>
        <v>3716.693168950369</v>
      </c>
      <c r="AV31" s="63">
        <f>'Local multi year dist'!BN31</f>
        <v>3739.0000536204898</v>
      </c>
      <c r="AW31" s="63">
        <f>'Local multi year dist'!BO31</f>
        <v>3477.3420239123179</v>
      </c>
      <c r="AX31" s="63">
        <f>'Local multi year dist'!BP31</f>
        <v>3216.6351768946993</v>
      </c>
      <c r="AY31" s="63">
        <f>'Local multi year dist'!BQ31</f>
        <v>2945.4455891052639</v>
      </c>
      <c r="AZ31" s="63">
        <f>'Local multi year dist'!BR31</f>
        <v>2299.6039519738933</v>
      </c>
      <c r="BA31" s="63">
        <f>'Local multi year dist'!BS31</f>
        <v>2299.6039519738933</v>
      </c>
      <c r="BB31" s="63">
        <f>'Local multi year dist'!BT31</f>
        <v>2299.6039519738933</v>
      </c>
      <c r="BC31" s="63">
        <f>'Local multi year dist'!BU31</f>
        <v>1900.6980695863201</v>
      </c>
      <c r="BD31" s="63">
        <f>'Local multi year dist'!BV31</f>
        <v>1900.6980695863201</v>
      </c>
      <c r="BE31" s="63">
        <f>'Local multi year dist'!BW31</f>
        <v>1371.8507638907636</v>
      </c>
      <c r="BF31" s="63"/>
      <c r="BG31" s="63"/>
      <c r="BH31" s="63"/>
      <c r="BI31" s="63"/>
      <c r="BJ31" s="63"/>
      <c r="BK31" s="63"/>
      <c r="BL31" s="63"/>
      <c r="BM31" s="63"/>
      <c r="BN31" s="63"/>
      <c r="BO31" s="63"/>
      <c r="BP31" s="63"/>
      <c r="BQ31" s="63"/>
    </row>
    <row r="32" spans="1:69" x14ac:dyDescent="0.25">
      <c r="A32" t="str">
        <f>'Local multi year dist'!S32</f>
        <v>Covington City</v>
      </c>
      <c r="B32" s="63">
        <f>'Local multi year dist'!T32</f>
        <v>4066.3498480529406</v>
      </c>
      <c r="C32" s="63">
        <f>'Local multi year dist'!U32</f>
        <v>25742.211469469825</v>
      </c>
      <c r="D32" s="63">
        <f>'Local multi year dist'!V32</f>
        <v>31746.733654648509</v>
      </c>
      <c r="E32" s="63">
        <f>'Local multi year dist'!W32</f>
        <v>12174.802075603662</v>
      </c>
      <c r="F32" s="63">
        <f>'Local multi year dist'!X32</f>
        <v>13082.611609829521</v>
      </c>
      <c r="G32" s="63">
        <f>'Local multi year dist'!Y32</f>
        <v>13903.694618208327</v>
      </c>
      <c r="H32" s="63">
        <f>'Local multi year dist'!Z32</f>
        <v>10592.703853349201</v>
      </c>
      <c r="I32" s="63">
        <f>'Local multi year dist'!AA32</f>
        <v>14845.751612484693</v>
      </c>
      <c r="J32" s="63">
        <f>'Local multi year dist'!AB32</f>
        <v>14913.29882482906</v>
      </c>
      <c r="K32" s="63">
        <f>'Local multi year dist'!AC32</f>
        <v>13963.216107313961</v>
      </c>
      <c r="L32" s="63">
        <f>'Local multi year dist'!AD32</f>
        <v>12957.950042747831</v>
      </c>
      <c r="M32" s="63">
        <f>'Local multi year dist'!AE32</f>
        <v>11912.567757661669</v>
      </c>
      <c r="N32" s="63">
        <f>'Local multi year dist'!AF32</f>
        <v>9091.0302488320358</v>
      </c>
      <c r="O32" s="63">
        <f>'Local multi year dist'!AG32</f>
        <v>9091.0302488320358</v>
      </c>
      <c r="P32" s="63">
        <f>'Local multi year dist'!AH32</f>
        <v>9091.0302488320358</v>
      </c>
      <c r="Q32" s="63">
        <f>'Local multi year dist'!AI32</f>
        <v>7553.3268795256181</v>
      </c>
      <c r="R32" s="63">
        <f>'Local multi year dist'!AJ32</f>
        <v>7553.3268795256181</v>
      </c>
      <c r="S32" s="63">
        <f>'Local multi year dist'!AK32</f>
        <v>5288.2136738481095</v>
      </c>
      <c r="T32" s="63"/>
      <c r="U32" s="63">
        <f>'Local multi year dist'!AM32</f>
        <v>0</v>
      </c>
      <c r="V32" s="63">
        <f>'Local multi year dist'!AN32</f>
        <v>9314.8831636401537</v>
      </c>
      <c r="W32" s="63">
        <f>'Local multi year dist'!AO32</f>
        <v>10782.45647686249</v>
      </c>
      <c r="X32" s="63">
        <f>'Local multi year dist'!AP32</f>
        <v>4198.8414777618436</v>
      </c>
      <c r="Y32" s="63">
        <f>'Local multi year dist'!AQ32</f>
        <v>4606.7918962472177</v>
      </c>
      <c r="Z32" s="63">
        <f>'Local multi year dist'!AR32</f>
        <v>4907.8556659861133</v>
      </c>
      <c r="AA32" s="63">
        <f>'Local multi year dist'!AS32</f>
        <v>3693.8257188711</v>
      </c>
      <c r="AB32" s="63">
        <f>'Local multi year dist'!AT32</f>
        <v>5253.276563887448</v>
      </c>
      <c r="AC32" s="63">
        <f>'Local multi year dist'!AU32</f>
        <v>5284.8057294989258</v>
      </c>
      <c r="AD32" s="63">
        <f>'Local multi year dist'!AV32</f>
        <v>4914.9710585333114</v>
      </c>
      <c r="AE32" s="63">
        <f>'Local multi year dist'!AW32</f>
        <v>4546.4808153988688</v>
      </c>
      <c r="AF32" s="63">
        <f>'Local multi year dist'!AX32</f>
        <v>4163.1739775339429</v>
      </c>
      <c r="AG32" s="63">
        <f>'Local multi year dist'!AY32</f>
        <v>3250.3236070302382</v>
      </c>
      <c r="AH32" s="63">
        <f>'Local multi year dist'!AZ32</f>
        <v>3250.3236070302382</v>
      </c>
      <c r="AI32" s="63">
        <f>'Local multi year dist'!BA32</f>
        <v>3250.3236070302382</v>
      </c>
      <c r="AJ32" s="63">
        <f>'Local multi year dist'!BB32</f>
        <v>2686.4990382845517</v>
      </c>
      <c r="AK32" s="63">
        <f>'Local multi year dist'!BC32</f>
        <v>2686.4990382845517</v>
      </c>
      <c r="AL32" s="63">
        <f>'Local multi year dist'!BD32</f>
        <v>1939.0116804109734</v>
      </c>
      <c r="AN32" s="63">
        <f>'Local multi year dist'!BF32</f>
        <v>0</v>
      </c>
      <c r="AO32" s="63">
        <f>'Local multi year dist'!BG32</f>
        <v>2328.7207909100384</v>
      </c>
      <c r="AP32" s="63">
        <f>'Local multi year dist'!BH32</f>
        <v>2695.6141192156224</v>
      </c>
      <c r="AQ32" s="63">
        <f>'Local multi year dist'!BI32</f>
        <v>1049.7103694404609</v>
      </c>
      <c r="AR32" s="63">
        <f>'Local multi year dist'!BJ32</f>
        <v>1151.6979740618044</v>
      </c>
      <c r="AS32" s="63">
        <f>'Local multi year dist'!BK32</f>
        <v>1226.9639164965283</v>
      </c>
      <c r="AT32" s="63">
        <f>'Local multi year dist'!BL32</f>
        <v>923.45642971777499</v>
      </c>
      <c r="AU32" s="63">
        <f>'Local multi year dist'!BM32</f>
        <v>1313.319140971862</v>
      </c>
      <c r="AV32" s="63">
        <f>'Local multi year dist'!BN32</f>
        <v>1321.2014323747314</v>
      </c>
      <c r="AW32" s="63">
        <f>'Local multi year dist'!BO32</f>
        <v>1228.7427646333279</v>
      </c>
      <c r="AX32" s="63">
        <f>'Local multi year dist'!BP32</f>
        <v>1136.6202038497172</v>
      </c>
      <c r="AY32" s="63">
        <f>'Local multi year dist'!BQ32</f>
        <v>1040.7934943834857</v>
      </c>
      <c r="AZ32" s="63">
        <f>'Local multi year dist'!BR32</f>
        <v>812.58090175755956</v>
      </c>
      <c r="BA32" s="63">
        <f>'Local multi year dist'!BS32</f>
        <v>812.58090175755956</v>
      </c>
      <c r="BB32" s="63">
        <f>'Local multi year dist'!BT32</f>
        <v>812.58090175755956</v>
      </c>
      <c r="BC32" s="63">
        <f>'Local multi year dist'!BU32</f>
        <v>671.62475957113793</v>
      </c>
      <c r="BD32" s="63">
        <f>'Local multi year dist'!BV32</f>
        <v>671.62475957113793</v>
      </c>
      <c r="BE32" s="63">
        <f>'Local multi year dist'!BW32</f>
        <v>484.75292010274336</v>
      </c>
      <c r="BF32" s="63"/>
      <c r="BG32" s="63"/>
      <c r="BH32" s="63"/>
      <c r="BI32" s="63"/>
      <c r="BJ32" s="63"/>
      <c r="BK32" s="63"/>
      <c r="BL32" s="63"/>
      <c r="BM32" s="63"/>
      <c r="BN32" s="63"/>
      <c r="BO32" s="63"/>
      <c r="BP32" s="63"/>
      <c r="BQ32" s="63"/>
    </row>
    <row r="33" spans="1:69" x14ac:dyDescent="0.25">
      <c r="A33" t="str">
        <f>'Local multi year dist'!S33</f>
        <v>Craig County</v>
      </c>
      <c r="B33" s="63">
        <f>'Local multi year dist'!T33</f>
        <v>2846.4448936370586</v>
      </c>
      <c r="C33" s="63">
        <f>'Local multi year dist'!U33</f>
        <v>18019.548028628877</v>
      </c>
      <c r="D33" s="63">
        <f>'Local multi year dist'!V33</f>
        <v>22222.713558253956</v>
      </c>
      <c r="E33" s="63">
        <f>'Local multi year dist'!W33</f>
        <v>8522.3614529225633</v>
      </c>
      <c r="F33" s="63">
        <f>'Local multi year dist'!X33</f>
        <v>9157.8281268806641</v>
      </c>
      <c r="G33" s="63">
        <f>'Local multi year dist'!Y33</f>
        <v>9732.586232745829</v>
      </c>
      <c r="H33" s="63">
        <f>'Local multi year dist'!Z33</f>
        <v>7414.8926973444395</v>
      </c>
      <c r="I33" s="63">
        <f>'Local multi year dist'!AA33</f>
        <v>10392.026128739284</v>
      </c>
      <c r="J33" s="63">
        <f>'Local multi year dist'!AB33</f>
        <v>10439.309177380341</v>
      </c>
      <c r="K33" s="63">
        <f>'Local multi year dist'!AC33</f>
        <v>9774.2512751197737</v>
      </c>
      <c r="L33" s="63">
        <f>'Local multi year dist'!AD33</f>
        <v>9070.5650299234803</v>
      </c>
      <c r="M33" s="63">
        <f>'Local multi year dist'!AE33</f>
        <v>8338.7974303631672</v>
      </c>
      <c r="N33" s="63">
        <f>'Local multi year dist'!AF33</f>
        <v>6363.7211741824249</v>
      </c>
      <c r="O33" s="63">
        <f>'Local multi year dist'!AG33</f>
        <v>6363.7211741824249</v>
      </c>
      <c r="P33" s="63">
        <f>'Local multi year dist'!AH33</f>
        <v>6363.7211741824249</v>
      </c>
      <c r="Q33" s="63">
        <f>'Local multi year dist'!AI33</f>
        <v>5287.3288156679318</v>
      </c>
      <c r="R33" s="63">
        <f>'Local multi year dist'!AJ33</f>
        <v>5287.3288156679318</v>
      </c>
      <c r="S33" s="63">
        <f>'Local multi year dist'!AK33</f>
        <v>3701.7495716936764</v>
      </c>
      <c r="T33" s="63"/>
      <c r="U33" s="63">
        <f>'Local multi year dist'!AM33</f>
        <v>0</v>
      </c>
      <c r="V33" s="63">
        <f>'Local multi year dist'!AN33</f>
        <v>6520.4182145481072</v>
      </c>
      <c r="W33" s="63">
        <f>'Local multi year dist'!AO33</f>
        <v>7547.7195338037427</v>
      </c>
      <c r="X33" s="63">
        <f>'Local multi year dist'!AP33</f>
        <v>2939.1890344332905</v>
      </c>
      <c r="Y33" s="63">
        <f>'Local multi year dist'!AQ33</f>
        <v>3224.7543273730521</v>
      </c>
      <c r="Z33" s="63">
        <f>'Local multi year dist'!AR33</f>
        <v>3435.4989661902791</v>
      </c>
      <c r="AA33" s="63">
        <f>'Local multi year dist'!AS33</f>
        <v>2585.6780032097695</v>
      </c>
      <c r="AB33" s="63">
        <f>'Local multi year dist'!AT33</f>
        <v>3677.2935947212131</v>
      </c>
      <c r="AC33" s="63">
        <f>'Local multi year dist'!AU33</f>
        <v>3699.364010649248</v>
      </c>
      <c r="AD33" s="63">
        <f>'Local multi year dist'!AV33</f>
        <v>3440.4797409733178</v>
      </c>
      <c r="AE33" s="63">
        <f>'Local multi year dist'!AW33</f>
        <v>3182.536570779208</v>
      </c>
      <c r="AF33" s="63">
        <f>'Local multi year dist'!AX33</f>
        <v>2914.2217842737596</v>
      </c>
      <c r="AG33" s="63">
        <f>'Local multi year dist'!AY33</f>
        <v>2275.2265249211664</v>
      </c>
      <c r="AH33" s="63">
        <f>'Local multi year dist'!AZ33</f>
        <v>2275.2265249211664</v>
      </c>
      <c r="AI33" s="63">
        <f>'Local multi year dist'!BA33</f>
        <v>2275.2265249211664</v>
      </c>
      <c r="AJ33" s="63">
        <f>'Local multi year dist'!BB33</f>
        <v>1880.549326799186</v>
      </c>
      <c r="AK33" s="63">
        <f>'Local multi year dist'!BC33</f>
        <v>1880.549326799186</v>
      </c>
      <c r="AL33" s="63">
        <f>'Local multi year dist'!BD33</f>
        <v>1357.3081762876814</v>
      </c>
      <c r="AN33" s="63">
        <f>'Local multi year dist'!BF33</f>
        <v>0</v>
      </c>
      <c r="AO33" s="63">
        <f>'Local multi year dist'!BG33</f>
        <v>1630.1045536370268</v>
      </c>
      <c r="AP33" s="63">
        <f>'Local multi year dist'!BH33</f>
        <v>1886.9298834509357</v>
      </c>
      <c r="AQ33" s="63">
        <f>'Local multi year dist'!BI33</f>
        <v>734.79725860832264</v>
      </c>
      <c r="AR33" s="63">
        <f>'Local multi year dist'!BJ33</f>
        <v>806.18858184326302</v>
      </c>
      <c r="AS33" s="63">
        <f>'Local multi year dist'!BK33</f>
        <v>858.87474154756978</v>
      </c>
      <c r="AT33" s="63">
        <f>'Local multi year dist'!BL33</f>
        <v>646.41950080244237</v>
      </c>
      <c r="AU33" s="63">
        <f>'Local multi year dist'!BM33</f>
        <v>919.32339868030328</v>
      </c>
      <c r="AV33" s="63">
        <f>'Local multi year dist'!BN33</f>
        <v>924.84100266231201</v>
      </c>
      <c r="AW33" s="63">
        <f>'Local multi year dist'!BO33</f>
        <v>860.11993524332945</v>
      </c>
      <c r="AX33" s="63">
        <f>'Local multi year dist'!BP33</f>
        <v>795.63414269480199</v>
      </c>
      <c r="AY33" s="63">
        <f>'Local multi year dist'!BQ33</f>
        <v>728.55544606843989</v>
      </c>
      <c r="AZ33" s="63">
        <f>'Local multi year dist'!BR33</f>
        <v>568.8066312302916</v>
      </c>
      <c r="BA33" s="63">
        <f>'Local multi year dist'!BS33</f>
        <v>568.8066312302916</v>
      </c>
      <c r="BB33" s="63">
        <f>'Local multi year dist'!BT33</f>
        <v>568.8066312302916</v>
      </c>
      <c r="BC33" s="63">
        <f>'Local multi year dist'!BU33</f>
        <v>470.1373316997965</v>
      </c>
      <c r="BD33" s="63">
        <f>'Local multi year dist'!BV33</f>
        <v>470.1373316997965</v>
      </c>
      <c r="BE33" s="63">
        <f>'Local multi year dist'!BW33</f>
        <v>339.32704407192034</v>
      </c>
      <c r="BF33" s="63"/>
      <c r="BG33" s="63"/>
      <c r="BH33" s="63"/>
      <c r="BI33" s="63"/>
      <c r="BJ33" s="63"/>
      <c r="BK33" s="63"/>
      <c r="BL33" s="63"/>
      <c r="BM33" s="63"/>
      <c r="BN33" s="63"/>
      <c r="BO33" s="63"/>
      <c r="BP33" s="63"/>
      <c r="BQ33" s="63"/>
    </row>
    <row r="34" spans="1:69" x14ac:dyDescent="0.25">
      <c r="A34" t="str">
        <f>'Local multi year dist'!S34</f>
        <v>Culpeper County</v>
      </c>
      <c r="B34" s="63">
        <f>'Local multi year dist'!T34</f>
        <v>32124.163799618269</v>
      </c>
      <c r="C34" s="63">
        <f>'Local multi year dist'!U34</f>
        <v>203363.47060881185</v>
      </c>
      <c r="D34" s="63">
        <f>'Local multi year dist'!V34</f>
        <v>250799.1958717235</v>
      </c>
      <c r="E34" s="63">
        <f>'Local multi year dist'!W34</f>
        <v>96180.936397269048</v>
      </c>
      <c r="F34" s="63">
        <f>'Local multi year dist'!X34</f>
        <v>103352.63171765332</v>
      </c>
      <c r="G34" s="63">
        <f>'Local multi year dist'!Y34</f>
        <v>109839.1874838459</v>
      </c>
      <c r="H34" s="63">
        <f>'Local multi year dist'!Z34</f>
        <v>83682.360441458775</v>
      </c>
      <c r="I34" s="63">
        <f>'Local multi year dist'!AA34</f>
        <v>117281.4377386292</v>
      </c>
      <c r="J34" s="63">
        <f>'Local multi year dist'!AB34</f>
        <v>117815.0607161497</v>
      </c>
      <c r="K34" s="63">
        <f>'Local multi year dist'!AC34</f>
        <v>110309.40724778043</v>
      </c>
      <c r="L34" s="63">
        <f>'Local multi year dist'!AD34</f>
        <v>102367.80533770798</v>
      </c>
      <c r="M34" s="63">
        <f>'Local multi year dist'!AE34</f>
        <v>94109.285285527294</v>
      </c>
      <c r="N34" s="63">
        <f>'Local multi year dist'!AF34</f>
        <v>71819.138965773178</v>
      </c>
      <c r="O34" s="63">
        <f>'Local multi year dist'!AG34</f>
        <v>71819.138965773178</v>
      </c>
      <c r="P34" s="63">
        <f>'Local multi year dist'!AH34</f>
        <v>71819.138965773178</v>
      </c>
      <c r="Q34" s="63">
        <f>'Local multi year dist'!AI34</f>
        <v>59671.282348252447</v>
      </c>
      <c r="R34" s="63">
        <f>'Local multi year dist'!AJ34</f>
        <v>59671.282348252447</v>
      </c>
      <c r="S34" s="63">
        <f>'Local multi year dist'!AK34</f>
        <v>41776.888023400112</v>
      </c>
      <c r="T34" s="63"/>
      <c r="U34" s="63">
        <f>'Local multi year dist'!AM34</f>
        <v>0</v>
      </c>
      <c r="V34" s="63">
        <f>'Local multi year dist'!AN34</f>
        <v>73587.576992757298</v>
      </c>
      <c r="W34" s="63">
        <f>'Local multi year dist'!AO34</f>
        <v>85181.406167213761</v>
      </c>
      <c r="X34" s="63">
        <f>'Local multi year dist'!AP34</f>
        <v>33170.847674318604</v>
      </c>
      <c r="Y34" s="63">
        <f>'Local multi year dist'!AQ34</f>
        <v>36393.655980353062</v>
      </c>
      <c r="Z34" s="63">
        <f>'Local multi year dist'!AR34</f>
        <v>38772.059761290344</v>
      </c>
      <c r="AA34" s="63">
        <f>'Local multi year dist'!AS34</f>
        <v>29181.22317908172</v>
      </c>
      <c r="AB34" s="63">
        <f>'Local multi year dist'!AT34</f>
        <v>41500.884854710886</v>
      </c>
      <c r="AC34" s="63">
        <f>'Local multi year dist'!AU34</f>
        <v>41749.965263041566</v>
      </c>
      <c r="AD34" s="63">
        <f>'Local multi year dist'!AV34</f>
        <v>38828.271362413208</v>
      </c>
      <c r="AE34" s="63">
        <f>'Local multi year dist'!AW34</f>
        <v>35917.198441651104</v>
      </c>
      <c r="AF34" s="63">
        <f>'Local multi year dist'!AX34</f>
        <v>32889.074422518184</v>
      </c>
      <c r="AG34" s="63">
        <f>'Local multi year dist'!AY34</f>
        <v>25677.556495538913</v>
      </c>
      <c r="AH34" s="63">
        <f>'Local multi year dist'!AZ34</f>
        <v>25677.556495538913</v>
      </c>
      <c r="AI34" s="63">
        <f>'Local multi year dist'!BA34</f>
        <v>25677.556495538913</v>
      </c>
      <c r="AJ34" s="63">
        <f>'Local multi year dist'!BB34</f>
        <v>21223.342402447983</v>
      </c>
      <c r="AK34" s="63">
        <f>'Local multi year dist'!BC34</f>
        <v>21223.342402447983</v>
      </c>
      <c r="AL34" s="63">
        <f>'Local multi year dist'!BD34</f>
        <v>15318.192275246707</v>
      </c>
      <c r="AN34" s="63">
        <f>'Local multi year dist'!BF34</f>
        <v>0</v>
      </c>
      <c r="AO34" s="63">
        <f>'Local multi year dist'!BG34</f>
        <v>18396.894248189325</v>
      </c>
      <c r="AP34" s="63">
        <f>'Local multi year dist'!BH34</f>
        <v>21295.35154180344</v>
      </c>
      <c r="AQ34" s="63">
        <f>'Local multi year dist'!BI34</f>
        <v>8292.711918579651</v>
      </c>
      <c r="AR34" s="63">
        <f>'Local multi year dist'!BJ34</f>
        <v>9098.4139950882654</v>
      </c>
      <c r="AS34" s="63">
        <f>'Local multi year dist'!BK34</f>
        <v>9693.014940322586</v>
      </c>
      <c r="AT34" s="63">
        <f>'Local multi year dist'!BL34</f>
        <v>7295.3057947704301</v>
      </c>
      <c r="AU34" s="63">
        <f>'Local multi year dist'!BM34</f>
        <v>10375.221213677722</v>
      </c>
      <c r="AV34" s="63">
        <f>'Local multi year dist'!BN34</f>
        <v>10437.491315760391</v>
      </c>
      <c r="AW34" s="63">
        <f>'Local multi year dist'!BO34</f>
        <v>9707.0678406033021</v>
      </c>
      <c r="AX34" s="63">
        <f>'Local multi year dist'!BP34</f>
        <v>8979.299610412776</v>
      </c>
      <c r="AY34" s="63">
        <f>'Local multi year dist'!BQ34</f>
        <v>8222.2686056295461</v>
      </c>
      <c r="AZ34" s="63">
        <f>'Local multi year dist'!BR34</f>
        <v>6419.3891238847282</v>
      </c>
      <c r="BA34" s="63">
        <f>'Local multi year dist'!BS34</f>
        <v>6419.3891238847282</v>
      </c>
      <c r="BB34" s="63">
        <f>'Local multi year dist'!BT34</f>
        <v>6419.3891238847282</v>
      </c>
      <c r="BC34" s="63">
        <f>'Local multi year dist'!BU34</f>
        <v>5305.8356006119957</v>
      </c>
      <c r="BD34" s="63">
        <f>'Local multi year dist'!BV34</f>
        <v>5305.8356006119957</v>
      </c>
      <c r="BE34" s="63">
        <f>'Local multi year dist'!BW34</f>
        <v>3829.5480688116768</v>
      </c>
      <c r="BF34" s="63"/>
      <c r="BG34" s="63"/>
      <c r="BH34" s="63"/>
      <c r="BI34" s="63"/>
      <c r="BJ34" s="63"/>
      <c r="BK34" s="63"/>
      <c r="BL34" s="63"/>
      <c r="BM34" s="63"/>
      <c r="BN34" s="63"/>
      <c r="BO34" s="63"/>
      <c r="BP34" s="63"/>
      <c r="BQ34" s="63"/>
    </row>
    <row r="35" spans="1:69" x14ac:dyDescent="0.25">
      <c r="A35" t="str">
        <f>'Local multi year dist'!S35</f>
        <v>Cumberland County</v>
      </c>
      <c r="B35" s="63">
        <f>'Local multi year dist'!T35</f>
        <v>4066.3498480529406</v>
      </c>
      <c r="C35" s="63">
        <f>'Local multi year dist'!U35</f>
        <v>25742.211469469825</v>
      </c>
      <c r="D35" s="63">
        <f>'Local multi year dist'!V35</f>
        <v>31746.733654648509</v>
      </c>
      <c r="E35" s="63">
        <f>'Local multi year dist'!W35</f>
        <v>12174.802075603662</v>
      </c>
      <c r="F35" s="63">
        <f>'Local multi year dist'!X35</f>
        <v>13082.611609829521</v>
      </c>
      <c r="G35" s="63">
        <f>'Local multi year dist'!Y35</f>
        <v>13903.694618208327</v>
      </c>
      <c r="H35" s="63">
        <f>'Local multi year dist'!Z35</f>
        <v>10592.703853349201</v>
      </c>
      <c r="I35" s="63">
        <f>'Local multi year dist'!AA35</f>
        <v>14845.751612484693</v>
      </c>
      <c r="J35" s="63">
        <f>'Local multi year dist'!AB35</f>
        <v>14913.29882482906</v>
      </c>
      <c r="K35" s="63">
        <f>'Local multi year dist'!AC35</f>
        <v>13963.216107313961</v>
      </c>
      <c r="L35" s="63">
        <f>'Local multi year dist'!AD35</f>
        <v>12957.950042747831</v>
      </c>
      <c r="M35" s="63">
        <f>'Local multi year dist'!AE35</f>
        <v>11912.567757661669</v>
      </c>
      <c r="N35" s="63">
        <f>'Local multi year dist'!AF35</f>
        <v>9091.0302488320358</v>
      </c>
      <c r="O35" s="63">
        <f>'Local multi year dist'!AG35</f>
        <v>9091.0302488320358</v>
      </c>
      <c r="P35" s="63">
        <f>'Local multi year dist'!AH35</f>
        <v>9091.0302488320358</v>
      </c>
      <c r="Q35" s="63">
        <f>'Local multi year dist'!AI35</f>
        <v>7553.3268795256181</v>
      </c>
      <c r="R35" s="63">
        <f>'Local multi year dist'!AJ35</f>
        <v>7553.3268795256181</v>
      </c>
      <c r="S35" s="63">
        <f>'Local multi year dist'!AK35</f>
        <v>5288.2136738481095</v>
      </c>
      <c r="T35" s="63"/>
      <c r="U35" s="63">
        <f>'Local multi year dist'!AM35</f>
        <v>0</v>
      </c>
      <c r="V35" s="63">
        <f>'Local multi year dist'!AN35</f>
        <v>9314.8831636401537</v>
      </c>
      <c r="W35" s="63">
        <f>'Local multi year dist'!AO35</f>
        <v>10782.45647686249</v>
      </c>
      <c r="X35" s="63">
        <f>'Local multi year dist'!AP35</f>
        <v>4198.8414777618436</v>
      </c>
      <c r="Y35" s="63">
        <f>'Local multi year dist'!AQ35</f>
        <v>4606.7918962472177</v>
      </c>
      <c r="Z35" s="63">
        <f>'Local multi year dist'!AR35</f>
        <v>4907.8556659861133</v>
      </c>
      <c r="AA35" s="63">
        <f>'Local multi year dist'!AS35</f>
        <v>3693.8257188711</v>
      </c>
      <c r="AB35" s="63">
        <f>'Local multi year dist'!AT35</f>
        <v>5253.276563887448</v>
      </c>
      <c r="AC35" s="63">
        <f>'Local multi year dist'!AU35</f>
        <v>5284.8057294989258</v>
      </c>
      <c r="AD35" s="63">
        <f>'Local multi year dist'!AV35</f>
        <v>4914.9710585333114</v>
      </c>
      <c r="AE35" s="63">
        <f>'Local multi year dist'!AW35</f>
        <v>4546.4808153988688</v>
      </c>
      <c r="AF35" s="63">
        <f>'Local multi year dist'!AX35</f>
        <v>4163.1739775339429</v>
      </c>
      <c r="AG35" s="63">
        <f>'Local multi year dist'!AY35</f>
        <v>3250.3236070302382</v>
      </c>
      <c r="AH35" s="63">
        <f>'Local multi year dist'!AZ35</f>
        <v>3250.3236070302382</v>
      </c>
      <c r="AI35" s="63">
        <f>'Local multi year dist'!BA35</f>
        <v>3250.3236070302382</v>
      </c>
      <c r="AJ35" s="63">
        <f>'Local multi year dist'!BB35</f>
        <v>2686.4990382845517</v>
      </c>
      <c r="AK35" s="63">
        <f>'Local multi year dist'!BC35</f>
        <v>2686.4990382845517</v>
      </c>
      <c r="AL35" s="63">
        <f>'Local multi year dist'!BD35</f>
        <v>1939.0116804109734</v>
      </c>
      <c r="AN35" s="63">
        <f>'Local multi year dist'!BF35</f>
        <v>0</v>
      </c>
      <c r="AO35" s="63">
        <f>'Local multi year dist'!BG35</f>
        <v>2328.7207909100384</v>
      </c>
      <c r="AP35" s="63">
        <f>'Local multi year dist'!BH35</f>
        <v>2695.6141192156224</v>
      </c>
      <c r="AQ35" s="63">
        <f>'Local multi year dist'!BI35</f>
        <v>1049.7103694404609</v>
      </c>
      <c r="AR35" s="63">
        <f>'Local multi year dist'!BJ35</f>
        <v>1151.6979740618044</v>
      </c>
      <c r="AS35" s="63">
        <f>'Local multi year dist'!BK35</f>
        <v>1226.9639164965283</v>
      </c>
      <c r="AT35" s="63">
        <f>'Local multi year dist'!BL35</f>
        <v>923.45642971777499</v>
      </c>
      <c r="AU35" s="63">
        <f>'Local multi year dist'!BM35</f>
        <v>1313.319140971862</v>
      </c>
      <c r="AV35" s="63">
        <f>'Local multi year dist'!BN35</f>
        <v>1321.2014323747314</v>
      </c>
      <c r="AW35" s="63">
        <f>'Local multi year dist'!BO35</f>
        <v>1228.7427646333279</v>
      </c>
      <c r="AX35" s="63">
        <f>'Local multi year dist'!BP35</f>
        <v>1136.6202038497172</v>
      </c>
      <c r="AY35" s="63">
        <f>'Local multi year dist'!BQ35</f>
        <v>1040.7934943834857</v>
      </c>
      <c r="AZ35" s="63">
        <f>'Local multi year dist'!BR35</f>
        <v>812.58090175755956</v>
      </c>
      <c r="BA35" s="63">
        <f>'Local multi year dist'!BS35</f>
        <v>812.58090175755956</v>
      </c>
      <c r="BB35" s="63">
        <f>'Local multi year dist'!BT35</f>
        <v>812.58090175755956</v>
      </c>
      <c r="BC35" s="63">
        <f>'Local multi year dist'!BU35</f>
        <v>671.62475957113793</v>
      </c>
      <c r="BD35" s="63">
        <f>'Local multi year dist'!BV35</f>
        <v>671.62475957113793</v>
      </c>
      <c r="BE35" s="63">
        <f>'Local multi year dist'!BW35</f>
        <v>484.75292010274336</v>
      </c>
      <c r="BF35" s="63"/>
      <c r="BG35" s="63"/>
      <c r="BH35" s="63"/>
      <c r="BI35" s="63"/>
      <c r="BJ35" s="63"/>
      <c r="BK35" s="63"/>
      <c r="BL35" s="63"/>
      <c r="BM35" s="63"/>
      <c r="BN35" s="63"/>
      <c r="BO35" s="63"/>
      <c r="BP35" s="63"/>
      <c r="BQ35" s="63"/>
    </row>
    <row r="36" spans="1:69" x14ac:dyDescent="0.25">
      <c r="A36" t="str">
        <f>'Local multi year dist'!S36</f>
        <v>Danville City</v>
      </c>
      <c r="B36" s="63">
        <f>'Local multi year dist'!T36</f>
        <v>25902.648532097272</v>
      </c>
      <c r="C36" s="63">
        <f>'Local multi year dist'!U36</f>
        <v>163977.88706052303</v>
      </c>
      <c r="D36" s="63">
        <f>'Local multi year dist'!V36</f>
        <v>202226.6933801113</v>
      </c>
      <c r="E36" s="63">
        <f>'Local multi year dist'!W36</f>
        <v>77553.489221595446</v>
      </c>
      <c r="F36" s="63">
        <f>'Local multi year dist'!X36</f>
        <v>83336.235954614167</v>
      </c>
      <c r="G36" s="63">
        <f>'Local multi year dist'!Y36</f>
        <v>88566.534717987175</v>
      </c>
      <c r="H36" s="63">
        <f>'Local multi year dist'!Z36</f>
        <v>67475.523545834512</v>
      </c>
      <c r="I36" s="63">
        <f>'Local multi year dist'!AA36</f>
        <v>94567.437771527635</v>
      </c>
      <c r="J36" s="63">
        <f>'Local multi year dist'!AB36</f>
        <v>94997.713514161253</v>
      </c>
      <c r="K36" s="63">
        <f>'Local multi year dist'!AC36</f>
        <v>88945.686603590075</v>
      </c>
      <c r="L36" s="63">
        <f>'Local multi year dist'!AD36</f>
        <v>82542.141772303803</v>
      </c>
      <c r="M36" s="63">
        <f>'Local multi year dist'!AE36</f>
        <v>75883.056616304937</v>
      </c>
      <c r="N36" s="63">
        <f>'Local multi year dist'!AF36</f>
        <v>57909.862685060158</v>
      </c>
      <c r="O36" s="63">
        <f>'Local multi year dist'!AG36</f>
        <v>57909.862685060158</v>
      </c>
      <c r="P36" s="63">
        <f>'Local multi year dist'!AH36</f>
        <v>57909.862685060158</v>
      </c>
      <c r="Q36" s="63">
        <f>'Local multi year dist'!AI36</f>
        <v>48114.692222578255</v>
      </c>
      <c r="R36" s="63">
        <f>'Local multi year dist'!AJ36</f>
        <v>48114.692222578255</v>
      </c>
      <c r="S36" s="63">
        <f>'Local multi year dist'!AK36</f>
        <v>33685.921102412511</v>
      </c>
      <c r="T36" s="63"/>
      <c r="U36" s="63">
        <f>'Local multi year dist'!AM36</f>
        <v>0</v>
      </c>
      <c r="V36" s="63">
        <f>'Local multi year dist'!AN36</f>
        <v>59335.805752387867</v>
      </c>
      <c r="W36" s="63">
        <f>'Local multi year dist'!AO36</f>
        <v>68684.247757614168</v>
      </c>
      <c r="X36" s="63">
        <f>'Local multi year dist'!AP36</f>
        <v>26746.620213342987</v>
      </c>
      <c r="Y36" s="63">
        <f>'Local multi year dist'!AQ36</f>
        <v>29345.264379094817</v>
      </c>
      <c r="Z36" s="63">
        <f>'Local multi year dist'!AR36</f>
        <v>31263.040592331588</v>
      </c>
      <c r="AA36" s="63">
        <f>'Local multi year dist'!AS36</f>
        <v>23529.669829208942</v>
      </c>
      <c r="AB36" s="63">
        <f>'Local multi year dist'!AT36</f>
        <v>33463.371711963089</v>
      </c>
      <c r="AC36" s="63">
        <f>'Local multi year dist'!AU36</f>
        <v>33664.212496908207</v>
      </c>
      <c r="AD36" s="63">
        <f>'Local multi year dist'!AV36</f>
        <v>31308.365642857243</v>
      </c>
      <c r="AE36" s="63">
        <f>'Local multi year dist'!AW36</f>
        <v>28961.082794090835</v>
      </c>
      <c r="AF36" s="63">
        <f>'Local multi year dist'!AX36</f>
        <v>26519.418236891252</v>
      </c>
      <c r="AG36" s="63">
        <f>'Local multi year dist'!AY36</f>
        <v>20704.561376782647</v>
      </c>
      <c r="AH36" s="63">
        <f>'Local multi year dist'!AZ36</f>
        <v>20704.561376782647</v>
      </c>
      <c r="AI36" s="63">
        <f>'Local multi year dist'!BA36</f>
        <v>20704.561376782647</v>
      </c>
      <c r="AJ36" s="63">
        <f>'Local multi year dist'!BB36</f>
        <v>17112.998873872617</v>
      </c>
      <c r="AK36" s="63">
        <f>'Local multi year dist'!BC36</f>
        <v>17112.998873872617</v>
      </c>
      <c r="AL36" s="63">
        <f>'Local multi year dist'!BD36</f>
        <v>12351.504404217918</v>
      </c>
      <c r="AN36" s="63">
        <f>'Local multi year dist'!BF36</f>
        <v>0</v>
      </c>
      <c r="AO36" s="63">
        <f>'Local multi year dist'!BG36</f>
        <v>14833.951438096967</v>
      </c>
      <c r="AP36" s="63">
        <f>'Local multi year dist'!BH36</f>
        <v>17171.061939403542</v>
      </c>
      <c r="AQ36" s="63">
        <f>'Local multi year dist'!BI36</f>
        <v>6686.6550533357467</v>
      </c>
      <c r="AR36" s="63">
        <f>'Local multi year dist'!BJ36</f>
        <v>7336.3160947737042</v>
      </c>
      <c r="AS36" s="63">
        <f>'Local multi year dist'!BK36</f>
        <v>7815.7601480828971</v>
      </c>
      <c r="AT36" s="63">
        <f>'Local multi year dist'!BL36</f>
        <v>5882.4174573022356</v>
      </c>
      <c r="AU36" s="63">
        <f>'Local multi year dist'!BM36</f>
        <v>8365.8429279907723</v>
      </c>
      <c r="AV36" s="63">
        <f>'Local multi year dist'!BN36</f>
        <v>8416.0531242270517</v>
      </c>
      <c r="AW36" s="63">
        <f>'Local multi year dist'!BO36</f>
        <v>7827.0914107143108</v>
      </c>
      <c r="AX36" s="63">
        <f>'Local multi year dist'!BP36</f>
        <v>7240.2706985227087</v>
      </c>
      <c r="AY36" s="63">
        <f>'Local multi year dist'!BQ36</f>
        <v>6629.8545592228129</v>
      </c>
      <c r="AZ36" s="63">
        <f>'Local multi year dist'!BR36</f>
        <v>5176.1403441956618</v>
      </c>
      <c r="BA36" s="63">
        <f>'Local multi year dist'!BS36</f>
        <v>5176.1403441956618</v>
      </c>
      <c r="BB36" s="63">
        <f>'Local multi year dist'!BT36</f>
        <v>5176.1403441956618</v>
      </c>
      <c r="BC36" s="63">
        <f>'Local multi year dist'!BU36</f>
        <v>4278.2497184681542</v>
      </c>
      <c r="BD36" s="63">
        <f>'Local multi year dist'!BV36</f>
        <v>4278.2497184681542</v>
      </c>
      <c r="BE36" s="63">
        <f>'Local multi year dist'!BW36</f>
        <v>3087.8761010544795</v>
      </c>
      <c r="BF36" s="63"/>
      <c r="BG36" s="63"/>
      <c r="BH36" s="63"/>
      <c r="BI36" s="63"/>
      <c r="BJ36" s="63"/>
      <c r="BK36" s="63"/>
      <c r="BL36" s="63"/>
      <c r="BM36" s="63"/>
      <c r="BN36" s="63"/>
      <c r="BO36" s="63"/>
      <c r="BP36" s="63"/>
      <c r="BQ36" s="63"/>
    </row>
    <row r="37" spans="1:69" x14ac:dyDescent="0.25">
      <c r="A37" t="str">
        <f>'Local multi year dist'!S37</f>
        <v>Dickenson County</v>
      </c>
      <c r="B37" s="63">
        <f>'Local multi year dist'!T37</f>
        <v>38548.99655954192</v>
      </c>
      <c r="C37" s="63">
        <f>'Local multi year dist'!U37</f>
        <v>244036.16473057421</v>
      </c>
      <c r="D37" s="63">
        <f>'Local multi year dist'!V37</f>
        <v>300959.03504606819</v>
      </c>
      <c r="E37" s="63">
        <f>'Local multi year dist'!W37</f>
        <v>115417.12367672284</v>
      </c>
      <c r="F37" s="63">
        <f>'Local multi year dist'!X37</f>
        <v>124023.15806118397</v>
      </c>
      <c r="G37" s="63">
        <f>'Local multi year dist'!Y37</f>
        <v>131807.0249806151</v>
      </c>
      <c r="H37" s="63">
        <f>'Local multi year dist'!Z37</f>
        <v>100418.83252975054</v>
      </c>
      <c r="I37" s="63">
        <f>'Local multi year dist'!AA37</f>
        <v>140737.72528635504</v>
      </c>
      <c r="J37" s="63">
        <f>'Local multi year dist'!AB37</f>
        <v>141378.07285937964</v>
      </c>
      <c r="K37" s="63">
        <f>'Local multi year dist'!AC37</f>
        <v>132371.28869733651</v>
      </c>
      <c r="L37" s="63">
        <f>'Local multi year dist'!AD37</f>
        <v>122841.36640524956</v>
      </c>
      <c r="M37" s="63">
        <f>'Local multi year dist'!AE37</f>
        <v>112931.14234263274</v>
      </c>
      <c r="N37" s="63">
        <f>'Local multi year dist'!AF37</f>
        <v>86182.966758927796</v>
      </c>
      <c r="O37" s="63">
        <f>'Local multi year dist'!AG37</f>
        <v>86182.966758927796</v>
      </c>
      <c r="P37" s="63">
        <f>'Local multi year dist'!AH37</f>
        <v>86182.966758927796</v>
      </c>
      <c r="Q37" s="63">
        <f>'Local multi year dist'!AI37</f>
        <v>71605.53881790294</v>
      </c>
      <c r="R37" s="63">
        <f>'Local multi year dist'!AJ37</f>
        <v>71605.53881790294</v>
      </c>
      <c r="S37" s="63">
        <f>'Local multi year dist'!AK37</f>
        <v>50132.265628080131</v>
      </c>
      <c r="T37" s="63"/>
      <c r="U37" s="63">
        <f>'Local multi year dist'!AM37</f>
        <v>0</v>
      </c>
      <c r="V37" s="63">
        <f>'Local multi year dist'!AN37</f>
        <v>88305.092391308746</v>
      </c>
      <c r="W37" s="63">
        <f>'Local multi year dist'!AO37</f>
        <v>102217.68740065652</v>
      </c>
      <c r="X37" s="63">
        <f>'Local multi year dist'!AP37</f>
        <v>39805.017209182326</v>
      </c>
      <c r="Y37" s="63">
        <f>'Local multi year dist'!AQ37</f>
        <v>43672.387176423668</v>
      </c>
      <c r="Z37" s="63">
        <f>'Local multi year dist'!AR37</f>
        <v>46526.471713548402</v>
      </c>
      <c r="AA37" s="63">
        <f>'Local multi year dist'!AS37</f>
        <v>35017.467814898067</v>
      </c>
      <c r="AB37" s="63">
        <f>'Local multi year dist'!AT37</f>
        <v>49801.061825653058</v>
      </c>
      <c r="AC37" s="63">
        <f>'Local multi year dist'!AU37</f>
        <v>50099.95831564987</v>
      </c>
      <c r="AD37" s="63">
        <f>'Local multi year dist'!AV37</f>
        <v>46593.925634895844</v>
      </c>
      <c r="AE37" s="63">
        <f>'Local multi year dist'!AW37</f>
        <v>43100.638129981322</v>
      </c>
      <c r="AF37" s="63">
        <f>'Local multi year dist'!AX37</f>
        <v>39466.889307021818</v>
      </c>
      <c r="AG37" s="63">
        <f>'Local multi year dist'!AY37</f>
        <v>30813.067794646693</v>
      </c>
      <c r="AH37" s="63">
        <f>'Local multi year dist'!AZ37</f>
        <v>30813.067794646693</v>
      </c>
      <c r="AI37" s="63">
        <f>'Local multi year dist'!BA37</f>
        <v>30813.067794646693</v>
      </c>
      <c r="AJ37" s="63">
        <f>'Local multi year dist'!BB37</f>
        <v>25468.010882937575</v>
      </c>
      <c r="AK37" s="63">
        <f>'Local multi year dist'!BC37</f>
        <v>25468.010882937575</v>
      </c>
      <c r="AL37" s="63">
        <f>'Local multi year dist'!BD37</f>
        <v>18381.830730296046</v>
      </c>
      <c r="AN37" s="63">
        <f>'Local multi year dist'!BF37</f>
        <v>0</v>
      </c>
      <c r="AO37" s="63">
        <f>'Local multi year dist'!BG37</f>
        <v>22076.273097827187</v>
      </c>
      <c r="AP37" s="63">
        <f>'Local multi year dist'!BH37</f>
        <v>25554.42185016413</v>
      </c>
      <c r="AQ37" s="63">
        <f>'Local multi year dist'!BI37</f>
        <v>9951.2543022955815</v>
      </c>
      <c r="AR37" s="63">
        <f>'Local multi year dist'!BJ37</f>
        <v>10918.096794105917</v>
      </c>
      <c r="AS37" s="63">
        <f>'Local multi year dist'!BK37</f>
        <v>11631.617928387101</v>
      </c>
      <c r="AT37" s="63">
        <f>'Local multi year dist'!BL37</f>
        <v>8754.3669537245169</v>
      </c>
      <c r="AU37" s="63">
        <f>'Local multi year dist'!BM37</f>
        <v>12450.265456413264</v>
      </c>
      <c r="AV37" s="63">
        <f>'Local multi year dist'!BN37</f>
        <v>12524.989578912468</v>
      </c>
      <c r="AW37" s="63">
        <f>'Local multi year dist'!BO37</f>
        <v>11648.481408723961</v>
      </c>
      <c r="AX37" s="63">
        <f>'Local multi year dist'!BP37</f>
        <v>10775.15953249533</v>
      </c>
      <c r="AY37" s="63">
        <f>'Local multi year dist'!BQ37</f>
        <v>9866.7223267554546</v>
      </c>
      <c r="AZ37" s="63">
        <f>'Local multi year dist'!BR37</f>
        <v>7703.2669486616733</v>
      </c>
      <c r="BA37" s="63">
        <f>'Local multi year dist'!BS37</f>
        <v>7703.2669486616733</v>
      </c>
      <c r="BB37" s="63">
        <f>'Local multi year dist'!BT37</f>
        <v>7703.2669486616733</v>
      </c>
      <c r="BC37" s="63">
        <f>'Local multi year dist'!BU37</f>
        <v>6367.0027207343937</v>
      </c>
      <c r="BD37" s="63">
        <f>'Local multi year dist'!BV37</f>
        <v>6367.0027207343937</v>
      </c>
      <c r="BE37" s="63">
        <f>'Local multi year dist'!BW37</f>
        <v>4595.4576825740114</v>
      </c>
      <c r="BF37" s="63"/>
      <c r="BG37" s="63"/>
      <c r="BH37" s="63"/>
      <c r="BI37" s="63"/>
      <c r="BJ37" s="63"/>
      <c r="BK37" s="63"/>
      <c r="BL37" s="63"/>
      <c r="BM37" s="63"/>
      <c r="BN37" s="63"/>
      <c r="BO37" s="63"/>
      <c r="BP37" s="63"/>
      <c r="BQ37" s="63"/>
    </row>
    <row r="38" spans="1:69" x14ac:dyDescent="0.25">
      <c r="A38" t="str">
        <f>'Local multi year dist'!S38</f>
        <v>Dinwiddie County</v>
      </c>
      <c r="B38" s="63">
        <f>'Local multi year dist'!T38</f>
        <v>7970.0457021837638</v>
      </c>
      <c r="C38" s="63">
        <f>'Local multi year dist'!U38</f>
        <v>50454.734480160856</v>
      </c>
      <c r="D38" s="63">
        <f>'Local multi year dist'!V38</f>
        <v>62223.597963111075</v>
      </c>
      <c r="E38" s="63">
        <f>'Local multi year dist'!W38</f>
        <v>23862.612068183178</v>
      </c>
      <c r="F38" s="63">
        <f>'Local multi year dist'!X38</f>
        <v>25641.918755265859</v>
      </c>
      <c r="G38" s="63">
        <f>'Local multi year dist'!Y38</f>
        <v>27251.241451688318</v>
      </c>
      <c r="H38" s="63">
        <f>'Local multi year dist'!Z38</f>
        <v>20761.699552564431</v>
      </c>
      <c r="I38" s="63">
        <f>'Local multi year dist'!AA38</f>
        <v>29097.673160469996</v>
      </c>
      <c r="J38" s="63">
        <f>'Local multi year dist'!AB38</f>
        <v>29230.065696664955</v>
      </c>
      <c r="K38" s="63">
        <f>'Local multi year dist'!AC38</f>
        <v>27367.903570335366</v>
      </c>
      <c r="L38" s="63">
        <f>'Local multi year dist'!AD38</f>
        <v>25397.582083785746</v>
      </c>
      <c r="M38" s="63">
        <f>'Local multi year dist'!AE38</f>
        <v>23348.63280501687</v>
      </c>
      <c r="N38" s="63">
        <f>'Local multi year dist'!AF38</f>
        <v>17818.419287710793</v>
      </c>
      <c r="O38" s="63">
        <f>'Local multi year dist'!AG38</f>
        <v>17818.419287710793</v>
      </c>
      <c r="P38" s="63">
        <f>'Local multi year dist'!AH38</f>
        <v>17818.419287710793</v>
      </c>
      <c r="Q38" s="63">
        <f>'Local multi year dist'!AI38</f>
        <v>14804.520683870211</v>
      </c>
      <c r="R38" s="63">
        <f>'Local multi year dist'!AJ38</f>
        <v>14804.520683870211</v>
      </c>
      <c r="S38" s="63">
        <f>'Local multi year dist'!AK38</f>
        <v>10364.898800742294</v>
      </c>
      <c r="T38" s="63"/>
      <c r="U38" s="63">
        <f>'Local multi year dist'!AM38</f>
        <v>0</v>
      </c>
      <c r="V38" s="63">
        <f>'Local multi year dist'!AN38</f>
        <v>18257.171000734699</v>
      </c>
      <c r="W38" s="63">
        <f>'Local multi year dist'!AO38</f>
        <v>21133.614694650478</v>
      </c>
      <c r="X38" s="63">
        <f>'Local multi year dist'!AP38</f>
        <v>8229.7292964132139</v>
      </c>
      <c r="Y38" s="63">
        <f>'Local multi year dist'!AQ38</f>
        <v>9029.3121166445453</v>
      </c>
      <c r="Z38" s="63">
        <f>'Local multi year dist'!AR38</f>
        <v>9619.3971053327823</v>
      </c>
      <c r="AA38" s="63">
        <f>'Local multi year dist'!AS38</f>
        <v>7239.8984089873557</v>
      </c>
      <c r="AB38" s="63">
        <f>'Local multi year dist'!AT38</f>
        <v>10296.422065219396</v>
      </c>
      <c r="AC38" s="63">
        <f>'Local multi year dist'!AU38</f>
        <v>10358.219229817894</v>
      </c>
      <c r="AD38" s="63">
        <f>'Local multi year dist'!AV38</f>
        <v>9633.34327472529</v>
      </c>
      <c r="AE38" s="63">
        <f>'Local multi year dist'!AW38</f>
        <v>8911.1023981817816</v>
      </c>
      <c r="AF38" s="63">
        <f>'Local multi year dist'!AX38</f>
        <v>8159.8209959665273</v>
      </c>
      <c r="AG38" s="63">
        <f>'Local multi year dist'!AY38</f>
        <v>6370.634269779267</v>
      </c>
      <c r="AH38" s="63">
        <f>'Local multi year dist'!AZ38</f>
        <v>6370.634269779267</v>
      </c>
      <c r="AI38" s="63">
        <f>'Local multi year dist'!BA38</f>
        <v>6370.634269779267</v>
      </c>
      <c r="AJ38" s="63">
        <f>'Local multi year dist'!BB38</f>
        <v>5265.5381150377207</v>
      </c>
      <c r="AK38" s="63">
        <f>'Local multi year dist'!BC38</f>
        <v>5265.5381150377207</v>
      </c>
      <c r="AL38" s="63">
        <f>'Local multi year dist'!BD38</f>
        <v>3800.4628936055078</v>
      </c>
      <c r="AN38" s="63">
        <f>'Local multi year dist'!BF38</f>
        <v>0</v>
      </c>
      <c r="AO38" s="63">
        <f>'Local multi year dist'!BG38</f>
        <v>4564.2927501836748</v>
      </c>
      <c r="AP38" s="63">
        <f>'Local multi year dist'!BH38</f>
        <v>5283.4036736626194</v>
      </c>
      <c r="AQ38" s="63">
        <f>'Local multi year dist'!BI38</f>
        <v>2057.4323241033035</v>
      </c>
      <c r="AR38" s="63">
        <f>'Local multi year dist'!BJ38</f>
        <v>2257.3280291611363</v>
      </c>
      <c r="AS38" s="63">
        <f>'Local multi year dist'!BK38</f>
        <v>2404.8492763331956</v>
      </c>
      <c r="AT38" s="63">
        <f>'Local multi year dist'!BL38</f>
        <v>1809.9746022468389</v>
      </c>
      <c r="AU38" s="63">
        <f>'Local multi year dist'!BM38</f>
        <v>2574.1055163048491</v>
      </c>
      <c r="AV38" s="63">
        <f>'Local multi year dist'!BN38</f>
        <v>2589.5548074544736</v>
      </c>
      <c r="AW38" s="63">
        <f>'Local multi year dist'!BO38</f>
        <v>2408.3358186813225</v>
      </c>
      <c r="AX38" s="63">
        <f>'Local multi year dist'!BP38</f>
        <v>2227.7755995454454</v>
      </c>
      <c r="AY38" s="63">
        <f>'Local multi year dist'!BQ38</f>
        <v>2039.9552489916318</v>
      </c>
      <c r="AZ38" s="63">
        <f>'Local multi year dist'!BR38</f>
        <v>1592.6585674448168</v>
      </c>
      <c r="BA38" s="63">
        <f>'Local multi year dist'!BS38</f>
        <v>1592.6585674448168</v>
      </c>
      <c r="BB38" s="63">
        <f>'Local multi year dist'!BT38</f>
        <v>1592.6585674448168</v>
      </c>
      <c r="BC38" s="63">
        <f>'Local multi year dist'!BU38</f>
        <v>1316.3845287594302</v>
      </c>
      <c r="BD38" s="63">
        <f>'Local multi year dist'!BV38</f>
        <v>1316.3845287594302</v>
      </c>
      <c r="BE38" s="63">
        <f>'Local multi year dist'!BW38</f>
        <v>950.11572340137695</v>
      </c>
      <c r="BF38" s="63"/>
      <c r="BG38" s="63"/>
      <c r="BH38" s="63"/>
      <c r="BI38" s="63"/>
      <c r="BJ38" s="63"/>
      <c r="BK38" s="63"/>
      <c r="BL38" s="63"/>
      <c r="BM38" s="63"/>
      <c r="BN38" s="63"/>
      <c r="BO38" s="63"/>
      <c r="BP38" s="63"/>
      <c r="BQ38" s="63"/>
    </row>
    <row r="39" spans="1:69" x14ac:dyDescent="0.25">
      <c r="A39" t="str">
        <f>'Local multi year dist'!S39</f>
        <v>Emporia City</v>
      </c>
      <c r="B39" s="63">
        <f>'Local multi year dist'!T39</f>
        <v>2033.1749240264703</v>
      </c>
      <c r="C39" s="63">
        <f>'Local multi year dist'!U39</f>
        <v>12871.105734734912</v>
      </c>
      <c r="D39" s="63">
        <f>'Local multi year dist'!V39</f>
        <v>15873.366827324255</v>
      </c>
      <c r="E39" s="63">
        <f>'Local multi year dist'!W39</f>
        <v>6087.4010378018311</v>
      </c>
      <c r="F39" s="63">
        <f>'Local multi year dist'!X39</f>
        <v>6541.3058049147603</v>
      </c>
      <c r="G39" s="63">
        <f>'Local multi year dist'!Y39</f>
        <v>6951.8473091041633</v>
      </c>
      <c r="H39" s="63">
        <f>'Local multi year dist'!Z39</f>
        <v>5296.3519266746007</v>
      </c>
      <c r="I39" s="63">
        <f>'Local multi year dist'!AA39</f>
        <v>7422.8758062423467</v>
      </c>
      <c r="J39" s="63">
        <f>'Local multi year dist'!AB39</f>
        <v>7456.6494124145302</v>
      </c>
      <c r="K39" s="63">
        <f>'Local multi year dist'!AC39</f>
        <v>6981.6080536569807</v>
      </c>
      <c r="L39" s="63">
        <f>'Local multi year dist'!AD39</f>
        <v>6478.9750213739153</v>
      </c>
      <c r="M39" s="63">
        <f>'Local multi year dist'!AE39</f>
        <v>5956.2838788308345</v>
      </c>
      <c r="N39" s="63">
        <f>'Local multi year dist'!AF39</f>
        <v>4545.5151244160179</v>
      </c>
      <c r="O39" s="63">
        <f>'Local multi year dist'!AG39</f>
        <v>4545.5151244160179</v>
      </c>
      <c r="P39" s="63">
        <f>'Local multi year dist'!AH39</f>
        <v>4545.5151244160179</v>
      </c>
      <c r="Q39" s="63">
        <f>'Local multi year dist'!AI39</f>
        <v>3776.663439762809</v>
      </c>
      <c r="R39" s="63">
        <f>'Local multi year dist'!AJ39</f>
        <v>3776.663439762809</v>
      </c>
      <c r="S39" s="63">
        <f>'Local multi year dist'!AK39</f>
        <v>2644.1068369240547</v>
      </c>
      <c r="T39" s="63"/>
      <c r="U39" s="63">
        <f>'Local multi year dist'!AM39</f>
        <v>0</v>
      </c>
      <c r="V39" s="63">
        <f>'Local multi year dist'!AN39</f>
        <v>4657.4415818200769</v>
      </c>
      <c r="W39" s="63">
        <f>'Local multi year dist'!AO39</f>
        <v>5391.2282384312448</v>
      </c>
      <c r="X39" s="63">
        <f>'Local multi year dist'!AP39</f>
        <v>2099.4207388809218</v>
      </c>
      <c r="Y39" s="63">
        <f>'Local multi year dist'!AQ39</f>
        <v>2303.3959481236088</v>
      </c>
      <c r="Z39" s="63">
        <f>'Local multi year dist'!AR39</f>
        <v>2453.9278329930567</v>
      </c>
      <c r="AA39" s="63">
        <f>'Local multi year dist'!AS39</f>
        <v>1846.91285943555</v>
      </c>
      <c r="AB39" s="63">
        <f>'Local multi year dist'!AT39</f>
        <v>2626.638281943724</v>
      </c>
      <c r="AC39" s="63">
        <f>'Local multi year dist'!AU39</f>
        <v>2642.4028647494629</v>
      </c>
      <c r="AD39" s="63">
        <f>'Local multi year dist'!AV39</f>
        <v>2457.4855292666557</v>
      </c>
      <c r="AE39" s="63">
        <f>'Local multi year dist'!AW39</f>
        <v>2273.2404076994344</v>
      </c>
      <c r="AF39" s="63">
        <f>'Local multi year dist'!AX39</f>
        <v>2081.5869887669714</v>
      </c>
      <c r="AG39" s="63">
        <f>'Local multi year dist'!AY39</f>
        <v>1625.1618035151191</v>
      </c>
      <c r="AH39" s="63">
        <f>'Local multi year dist'!AZ39</f>
        <v>1625.1618035151191</v>
      </c>
      <c r="AI39" s="63">
        <f>'Local multi year dist'!BA39</f>
        <v>1625.1618035151191</v>
      </c>
      <c r="AJ39" s="63">
        <f>'Local multi year dist'!BB39</f>
        <v>1343.2495191422759</v>
      </c>
      <c r="AK39" s="63">
        <f>'Local multi year dist'!BC39</f>
        <v>1343.2495191422759</v>
      </c>
      <c r="AL39" s="63">
        <f>'Local multi year dist'!BD39</f>
        <v>969.50584020548672</v>
      </c>
      <c r="AN39" s="63">
        <f>'Local multi year dist'!BF39</f>
        <v>0</v>
      </c>
      <c r="AO39" s="63">
        <f>'Local multi year dist'!BG39</f>
        <v>1164.3603954550192</v>
      </c>
      <c r="AP39" s="63">
        <f>'Local multi year dist'!BH39</f>
        <v>1347.8070596078112</v>
      </c>
      <c r="AQ39" s="63">
        <f>'Local multi year dist'!BI39</f>
        <v>524.85518472023045</v>
      </c>
      <c r="AR39" s="63">
        <f>'Local multi year dist'!BJ39</f>
        <v>575.84898703090221</v>
      </c>
      <c r="AS39" s="63">
        <f>'Local multi year dist'!BK39</f>
        <v>613.48195824826416</v>
      </c>
      <c r="AT39" s="63">
        <f>'Local multi year dist'!BL39</f>
        <v>461.7282148588875</v>
      </c>
      <c r="AU39" s="63">
        <f>'Local multi year dist'!BM39</f>
        <v>656.659570485931</v>
      </c>
      <c r="AV39" s="63">
        <f>'Local multi year dist'!BN39</f>
        <v>660.60071618736572</v>
      </c>
      <c r="AW39" s="63">
        <f>'Local multi year dist'!BO39</f>
        <v>614.37138231666393</v>
      </c>
      <c r="AX39" s="63">
        <f>'Local multi year dist'!BP39</f>
        <v>568.3101019248586</v>
      </c>
      <c r="AY39" s="63">
        <f>'Local multi year dist'!BQ39</f>
        <v>520.39674719174286</v>
      </c>
      <c r="AZ39" s="63">
        <f>'Local multi year dist'!BR39</f>
        <v>406.29045087877978</v>
      </c>
      <c r="BA39" s="63">
        <f>'Local multi year dist'!BS39</f>
        <v>406.29045087877978</v>
      </c>
      <c r="BB39" s="63">
        <f>'Local multi year dist'!BT39</f>
        <v>406.29045087877978</v>
      </c>
      <c r="BC39" s="63">
        <f>'Local multi year dist'!BU39</f>
        <v>335.81237978556896</v>
      </c>
      <c r="BD39" s="63">
        <f>'Local multi year dist'!BV39</f>
        <v>335.81237978556896</v>
      </c>
      <c r="BE39" s="63">
        <f>'Local multi year dist'!BW39</f>
        <v>242.37646005137168</v>
      </c>
      <c r="BF39" s="63"/>
      <c r="BG39" s="63"/>
      <c r="BH39" s="63"/>
      <c r="BI39" s="63"/>
      <c r="BJ39" s="63"/>
      <c r="BK39" s="63"/>
      <c r="BL39" s="63"/>
      <c r="BM39" s="63"/>
      <c r="BN39" s="63"/>
      <c r="BO39" s="63"/>
      <c r="BP39" s="63"/>
      <c r="BQ39" s="63"/>
    </row>
    <row r="40" spans="1:69" x14ac:dyDescent="0.25">
      <c r="A40" t="str">
        <f>'Local multi year dist'!S40</f>
        <v>Essex County</v>
      </c>
      <c r="B40" s="63">
        <f>'Local multi year dist'!T40</f>
        <v>4107.0133465334702</v>
      </c>
      <c r="C40" s="63">
        <f>'Local multi year dist'!U40</f>
        <v>25999.633584164523</v>
      </c>
      <c r="D40" s="63">
        <f>'Local multi year dist'!V40</f>
        <v>32064.20099119499</v>
      </c>
      <c r="E40" s="63">
        <f>'Local multi year dist'!W40</f>
        <v>12296.550096359699</v>
      </c>
      <c r="F40" s="63">
        <f>'Local multi year dist'!X40</f>
        <v>13213.437725927814</v>
      </c>
      <c r="G40" s="63">
        <f>'Local multi year dist'!Y40</f>
        <v>14042.731564390409</v>
      </c>
      <c r="H40" s="63">
        <f>'Local multi year dist'!Z40</f>
        <v>10698.630891882691</v>
      </c>
      <c r="I40" s="63">
        <f>'Local multi year dist'!AA40</f>
        <v>14994.209128609538</v>
      </c>
      <c r="J40" s="63">
        <f>'Local multi year dist'!AB40</f>
        <v>15062.431813077348</v>
      </c>
      <c r="K40" s="63">
        <f>'Local multi year dist'!AC40</f>
        <v>14102.848268387101</v>
      </c>
      <c r="L40" s="63">
        <f>'Local multi year dist'!AD40</f>
        <v>13087.529543175307</v>
      </c>
      <c r="M40" s="63">
        <f>'Local multi year dist'!AE40</f>
        <v>12031.693435238285</v>
      </c>
      <c r="N40" s="63">
        <f>'Local multi year dist'!AF40</f>
        <v>9181.9405513203565</v>
      </c>
      <c r="O40" s="63">
        <f>'Local multi year dist'!AG40</f>
        <v>9181.9405513203565</v>
      </c>
      <c r="P40" s="63">
        <f>'Local multi year dist'!AH40</f>
        <v>9181.9405513203565</v>
      </c>
      <c r="Q40" s="63">
        <f>'Local multi year dist'!AI40</f>
        <v>7628.8601483208731</v>
      </c>
      <c r="R40" s="63">
        <f>'Local multi year dist'!AJ40</f>
        <v>7628.8601483208731</v>
      </c>
      <c r="S40" s="63">
        <f>'Local multi year dist'!AK40</f>
        <v>5341.0958105865902</v>
      </c>
      <c r="T40" s="63"/>
      <c r="U40" s="63">
        <f>'Local multi year dist'!AM40</f>
        <v>0</v>
      </c>
      <c r="V40" s="63">
        <f>'Local multi year dist'!AN40</f>
        <v>9408.0319952765549</v>
      </c>
      <c r="W40" s="63">
        <f>'Local multi year dist'!AO40</f>
        <v>10890.281041631113</v>
      </c>
      <c r="X40" s="63">
        <f>'Local multi year dist'!AP40</f>
        <v>4240.829892539462</v>
      </c>
      <c r="Y40" s="63">
        <f>'Local multi year dist'!AQ40</f>
        <v>4652.8598152096893</v>
      </c>
      <c r="Z40" s="63">
        <f>'Local multi year dist'!AR40</f>
        <v>4956.9342226459739</v>
      </c>
      <c r="AA40" s="63">
        <f>'Local multi year dist'!AS40</f>
        <v>3730.7639760598104</v>
      </c>
      <c r="AB40" s="63">
        <f>'Local multi year dist'!AT40</f>
        <v>5305.8093295263216</v>
      </c>
      <c r="AC40" s="63">
        <f>'Local multi year dist'!AU40</f>
        <v>5337.6537867939151</v>
      </c>
      <c r="AD40" s="63">
        <f>'Local multi year dist'!AV40</f>
        <v>4964.1207691186446</v>
      </c>
      <c r="AE40" s="63">
        <f>'Local multi year dist'!AW40</f>
        <v>4591.9456235528569</v>
      </c>
      <c r="AF40" s="63">
        <f>'Local multi year dist'!AX40</f>
        <v>4204.8057173092811</v>
      </c>
      <c r="AG40" s="63">
        <f>'Local multi year dist'!AY40</f>
        <v>3282.8268431005404</v>
      </c>
      <c r="AH40" s="63">
        <f>'Local multi year dist'!AZ40</f>
        <v>3282.8268431005404</v>
      </c>
      <c r="AI40" s="63">
        <f>'Local multi year dist'!BA40</f>
        <v>3282.8268431005404</v>
      </c>
      <c r="AJ40" s="63">
        <f>'Local multi year dist'!BB40</f>
        <v>2713.3640286673967</v>
      </c>
      <c r="AK40" s="63">
        <f>'Local multi year dist'!BC40</f>
        <v>2713.3640286673967</v>
      </c>
      <c r="AL40" s="63">
        <f>'Local multi year dist'!BD40</f>
        <v>1958.401797215083</v>
      </c>
      <c r="AN40" s="63">
        <f>'Local multi year dist'!BF40</f>
        <v>0</v>
      </c>
      <c r="AO40" s="63">
        <f>'Local multi year dist'!BG40</f>
        <v>2352.0079988191387</v>
      </c>
      <c r="AP40" s="63">
        <f>'Local multi year dist'!BH40</f>
        <v>2722.5702604077783</v>
      </c>
      <c r="AQ40" s="63">
        <f>'Local multi year dist'!BI40</f>
        <v>1060.2074731348655</v>
      </c>
      <c r="AR40" s="63">
        <f>'Local multi year dist'!BJ40</f>
        <v>1163.2149538024223</v>
      </c>
      <c r="AS40" s="63">
        <f>'Local multi year dist'!BK40</f>
        <v>1239.2335556614935</v>
      </c>
      <c r="AT40" s="63">
        <f>'Local multi year dist'!BL40</f>
        <v>932.69099401495259</v>
      </c>
      <c r="AU40" s="63">
        <f>'Local multi year dist'!BM40</f>
        <v>1326.4523323815804</v>
      </c>
      <c r="AV40" s="63">
        <f>'Local multi year dist'!BN40</f>
        <v>1334.4134466984788</v>
      </c>
      <c r="AW40" s="63">
        <f>'Local multi year dist'!BO40</f>
        <v>1241.0301922796612</v>
      </c>
      <c r="AX40" s="63">
        <f>'Local multi year dist'!BP40</f>
        <v>1147.9864058882142</v>
      </c>
      <c r="AY40" s="63">
        <f>'Local multi year dist'!BQ40</f>
        <v>1051.2014293273203</v>
      </c>
      <c r="AZ40" s="63">
        <f>'Local multi year dist'!BR40</f>
        <v>820.70671077513509</v>
      </c>
      <c r="BA40" s="63">
        <f>'Local multi year dist'!BS40</f>
        <v>820.70671077513509</v>
      </c>
      <c r="BB40" s="63">
        <f>'Local multi year dist'!BT40</f>
        <v>820.70671077513509</v>
      </c>
      <c r="BC40" s="63">
        <f>'Local multi year dist'!BU40</f>
        <v>678.34100716684918</v>
      </c>
      <c r="BD40" s="63">
        <f>'Local multi year dist'!BV40</f>
        <v>678.34100716684918</v>
      </c>
      <c r="BE40" s="63">
        <f>'Local multi year dist'!BW40</f>
        <v>489.60044930377074</v>
      </c>
      <c r="BF40" s="63"/>
      <c r="BG40" s="63"/>
      <c r="BH40" s="63"/>
      <c r="BI40" s="63"/>
      <c r="BJ40" s="63"/>
      <c r="BK40" s="63"/>
      <c r="BL40" s="63"/>
      <c r="BM40" s="63"/>
      <c r="BN40" s="63"/>
      <c r="BO40" s="63"/>
      <c r="BP40" s="63"/>
      <c r="BQ40" s="63"/>
    </row>
    <row r="41" spans="1:69" x14ac:dyDescent="0.25">
      <c r="A41" t="str">
        <f>'Local multi year dist'!S41</f>
        <v>Fairfax County</v>
      </c>
      <c r="B41" s="63">
        <f>'Local multi year dist'!T41</f>
        <v>352633.85882315144</v>
      </c>
      <c r="C41" s="63">
        <f>'Local multi year dist'!U41</f>
        <v>2232364.578632426</v>
      </c>
      <c r="D41" s="63">
        <f>'Local multi year dist'!V41</f>
        <v>2753076.7425311217</v>
      </c>
      <c r="E41" s="63">
        <f>'Local multi year dist'!W41</f>
        <v>1055798.8359963507</v>
      </c>
      <c r="F41" s="63">
        <f>'Local multi year dist'!X41</f>
        <v>1134524.0788044173</v>
      </c>
      <c r="G41" s="63">
        <f>'Local multi year dist'!Y41</f>
        <v>1205728.3972910275</v>
      </c>
      <c r="H41" s="63">
        <f>'Local multi year dist'!Z41</f>
        <v>918599.27816244366</v>
      </c>
      <c r="I41" s="63">
        <f>'Local multi year dist'!AA41</f>
        <v>1287423.579834674</v>
      </c>
      <c r="J41" s="63">
        <f>'Local multi year dist'!AB41</f>
        <v>1293281.2740891776</v>
      </c>
      <c r="K41" s="63">
        <f>'Local multi year dist'!AC41</f>
        <v>1210890.1008262681</v>
      </c>
      <c r="L41" s="63">
        <f>'Local multi year dist'!AD41</f>
        <v>1123713.4277070931</v>
      </c>
      <c r="M41" s="63">
        <f>'Local multi year dist'!AE41</f>
        <v>1033057.875944421</v>
      </c>
      <c r="N41" s="63">
        <f>'Local multi year dist'!AF41</f>
        <v>788374.14317871514</v>
      </c>
      <c r="O41" s="63">
        <f>'Local multi year dist'!AG41</f>
        <v>788374.14317871514</v>
      </c>
      <c r="P41" s="63">
        <f>'Local multi year dist'!AH41</f>
        <v>788374.14317871514</v>
      </c>
      <c r="Q41" s="63">
        <f>'Local multi year dist'!AI41</f>
        <v>655024.50699246232</v>
      </c>
      <c r="R41" s="63">
        <f>'Local multi year dist'!AJ41</f>
        <v>655024.50699246232</v>
      </c>
      <c r="S41" s="63">
        <f>'Local multi year dist'!AK41</f>
        <v>458593.88979610859</v>
      </c>
      <c r="T41" s="63"/>
      <c r="U41" s="63">
        <f>'Local multi year dist'!AM41</f>
        <v>0</v>
      </c>
      <c r="V41" s="63">
        <f>'Local multi year dist'!AN41</f>
        <v>807786.66795087501</v>
      </c>
      <c r="W41" s="63">
        <f>'Local multi year dist'!AO41</f>
        <v>935054.62567351619</v>
      </c>
      <c r="X41" s="63">
        <f>'Local multi year dist'!AP41</f>
        <v>364123.53295150754</v>
      </c>
      <c r="Y41" s="63">
        <f>'Local multi year dist'!AQ41</f>
        <v>399500.99324255914</v>
      </c>
      <c r="Z41" s="63">
        <f>'Local multi year dist'!AR41</f>
        <v>425609.24335431622</v>
      </c>
      <c r="AA41" s="63">
        <f>'Local multi year dist'!AS41</f>
        <v>320328.56634050212</v>
      </c>
      <c r="AB41" s="63">
        <f>'Local multi year dist'!AT41</f>
        <v>455564.14362031996</v>
      </c>
      <c r="AC41" s="63">
        <f>'Local multi year dist'!AU41</f>
        <v>458298.35286214738</v>
      </c>
      <c r="AD41" s="63">
        <f>'Local multi year dist'!AV41</f>
        <v>426226.29019600927</v>
      </c>
      <c r="AE41" s="63">
        <f>'Local multi year dist'!AW41</f>
        <v>394270.81631139031</v>
      </c>
      <c r="AF41" s="63">
        <f>'Local multi year dist'!AX41</f>
        <v>361030.4473317439</v>
      </c>
      <c r="AG41" s="63">
        <f>'Local multi year dist'!AY41</f>
        <v>281868.06320166256</v>
      </c>
      <c r="AH41" s="63">
        <f>'Local multi year dist'!AZ41</f>
        <v>281868.06320166256</v>
      </c>
      <c r="AI41" s="63">
        <f>'Local multi year dist'!BA41</f>
        <v>281868.06320166256</v>
      </c>
      <c r="AJ41" s="63">
        <f>'Local multi year dist'!BB41</f>
        <v>232973.19660003658</v>
      </c>
      <c r="AK41" s="63">
        <f>'Local multi year dist'!BC41</f>
        <v>232973.19660003658</v>
      </c>
      <c r="AL41" s="63">
        <f>'Local multi year dist'!BD41</f>
        <v>168151.09292523979</v>
      </c>
      <c r="AN41" s="63">
        <f>'Local multi year dist'!BF41</f>
        <v>0</v>
      </c>
      <c r="AO41" s="63">
        <f>'Local multi year dist'!BG41</f>
        <v>201946.66698771875</v>
      </c>
      <c r="AP41" s="63">
        <f>'Local multi year dist'!BH41</f>
        <v>233763.65641837905</v>
      </c>
      <c r="AQ41" s="63">
        <f>'Local multi year dist'!BI41</f>
        <v>91030.883237876886</v>
      </c>
      <c r="AR41" s="63">
        <f>'Local multi year dist'!BJ41</f>
        <v>99875.248310639785</v>
      </c>
      <c r="AS41" s="63">
        <f>'Local multi year dist'!BK41</f>
        <v>106402.31083857905</v>
      </c>
      <c r="AT41" s="63">
        <f>'Local multi year dist'!BL41</f>
        <v>80082.14158512553</v>
      </c>
      <c r="AU41" s="63">
        <f>'Local multi year dist'!BM41</f>
        <v>113891.03590507999</v>
      </c>
      <c r="AV41" s="63">
        <f>'Local multi year dist'!BN41</f>
        <v>114574.58821553685</v>
      </c>
      <c r="AW41" s="63">
        <f>'Local multi year dist'!BO41</f>
        <v>106556.57254900232</v>
      </c>
      <c r="AX41" s="63">
        <f>'Local multi year dist'!BP41</f>
        <v>98567.704077847578</v>
      </c>
      <c r="AY41" s="63">
        <f>'Local multi year dist'!BQ41</f>
        <v>90257.611832935974</v>
      </c>
      <c r="AZ41" s="63">
        <f>'Local multi year dist'!BR41</f>
        <v>70467.01580041564</v>
      </c>
      <c r="BA41" s="63">
        <f>'Local multi year dist'!BS41</f>
        <v>70467.01580041564</v>
      </c>
      <c r="BB41" s="63">
        <f>'Local multi year dist'!BT41</f>
        <v>70467.01580041564</v>
      </c>
      <c r="BC41" s="63">
        <f>'Local multi year dist'!BU41</f>
        <v>58243.299150009145</v>
      </c>
      <c r="BD41" s="63">
        <f>'Local multi year dist'!BV41</f>
        <v>58243.299150009145</v>
      </c>
      <c r="BE41" s="63">
        <f>'Local multi year dist'!BW41</f>
        <v>42037.773231309948</v>
      </c>
      <c r="BF41" s="63"/>
      <c r="BG41" s="63"/>
      <c r="BH41" s="63"/>
      <c r="BI41" s="63"/>
      <c r="BJ41" s="63"/>
      <c r="BK41" s="63"/>
      <c r="BL41" s="63"/>
      <c r="BM41" s="63"/>
      <c r="BN41" s="63"/>
      <c r="BO41" s="63"/>
      <c r="BP41" s="63"/>
      <c r="BQ41" s="63"/>
    </row>
    <row r="42" spans="1:69" x14ac:dyDescent="0.25">
      <c r="A42" t="str">
        <f>'Local multi year dist'!S42</f>
        <v>Fairfax City</v>
      </c>
      <c r="B42" s="63">
        <f>'Local multi year dist'!T42</f>
        <v>10938.481091262409</v>
      </c>
      <c r="C42" s="63">
        <f>'Local multi year dist'!U42</f>
        <v>69246.548852873821</v>
      </c>
      <c r="D42" s="63">
        <f>'Local multi year dist'!V42</f>
        <v>85398.713531004483</v>
      </c>
      <c r="E42" s="63">
        <f>'Local multi year dist'!W42</f>
        <v>32750.217583373847</v>
      </c>
      <c r="F42" s="63">
        <f>'Local multi year dist'!X42</f>
        <v>35192.225230441407</v>
      </c>
      <c r="G42" s="63">
        <f>'Local multi year dist'!Y42</f>
        <v>37400.938522980396</v>
      </c>
      <c r="H42" s="63">
        <f>'Local multi year dist'!Z42</f>
        <v>28494.373365509346</v>
      </c>
      <c r="I42" s="63">
        <f>'Local multi year dist'!AA42</f>
        <v>39935.071837583819</v>
      </c>
      <c r="J42" s="63">
        <f>'Local multi year dist'!AB42</f>
        <v>40116.77383879017</v>
      </c>
      <c r="K42" s="63">
        <f>'Local multi year dist'!AC42</f>
        <v>37561.051328674555</v>
      </c>
      <c r="L42" s="63">
        <f>'Local multi year dist'!AD42</f>
        <v>34856.885614991661</v>
      </c>
      <c r="M42" s="63">
        <f>'Local multi year dist'!AE42</f>
        <v>32044.807268109886</v>
      </c>
      <c r="N42" s="63">
        <f>'Local multi year dist'!AF42</f>
        <v>24454.871369358178</v>
      </c>
      <c r="O42" s="63">
        <f>'Local multi year dist'!AG42</f>
        <v>24454.871369358178</v>
      </c>
      <c r="P42" s="63">
        <f>'Local multi year dist'!AH42</f>
        <v>24454.871369358178</v>
      </c>
      <c r="Q42" s="63">
        <f>'Local multi year dist'!AI42</f>
        <v>20318.44930592391</v>
      </c>
      <c r="R42" s="63">
        <f>'Local multi year dist'!AJ42</f>
        <v>20318.44930592391</v>
      </c>
      <c r="S42" s="63">
        <f>'Local multi year dist'!AK42</f>
        <v>14225.294782651414</v>
      </c>
      <c r="T42" s="63"/>
      <c r="U42" s="63">
        <f>'Local multi year dist'!AM42</f>
        <v>0</v>
      </c>
      <c r="V42" s="63">
        <f>'Local multi year dist'!AN42</f>
        <v>25057.035710192013</v>
      </c>
      <c r="W42" s="63">
        <f>'Local multi year dist'!AO42</f>
        <v>29004.807922760094</v>
      </c>
      <c r="X42" s="63">
        <f>'Local multi year dist'!AP42</f>
        <v>11294.883575179359</v>
      </c>
      <c r="Y42" s="63">
        <f>'Local multi year dist'!AQ42</f>
        <v>12392.270200905014</v>
      </c>
      <c r="Z42" s="63">
        <f>'Local multi year dist'!AR42</f>
        <v>13202.131741502644</v>
      </c>
      <c r="AA42" s="63">
        <f>'Local multi year dist'!AS42</f>
        <v>9936.3911837632568</v>
      </c>
      <c r="AB42" s="63">
        <f>'Local multi year dist'!AT42</f>
        <v>14131.313956857233</v>
      </c>
      <c r="AC42" s="63">
        <f>'Local multi year dist'!AU42</f>
        <v>14216.127412352109</v>
      </c>
      <c r="AD42" s="63">
        <f>'Local multi year dist'!AV42</f>
        <v>13221.272147454607</v>
      </c>
      <c r="AE42" s="63">
        <f>'Local multi year dist'!AW42</f>
        <v>12230.033393422955</v>
      </c>
      <c r="AF42" s="63">
        <f>'Local multi year dist'!AX42</f>
        <v>11198.937999566304</v>
      </c>
      <c r="AG42" s="63">
        <f>'Local multi year dist'!AY42</f>
        <v>8743.3705029113407</v>
      </c>
      <c r="AH42" s="63">
        <f>'Local multi year dist'!AZ42</f>
        <v>8743.3705029113407</v>
      </c>
      <c r="AI42" s="63">
        <f>'Local multi year dist'!BA42</f>
        <v>8743.3705029113407</v>
      </c>
      <c r="AJ42" s="63">
        <f>'Local multi year dist'!BB42</f>
        <v>7226.6824129854431</v>
      </c>
      <c r="AK42" s="63">
        <f>'Local multi year dist'!BC42</f>
        <v>7226.6824129854431</v>
      </c>
      <c r="AL42" s="63">
        <f>'Local multi year dist'!BD42</f>
        <v>5215.9414203055176</v>
      </c>
      <c r="AN42" s="63">
        <f>'Local multi year dist'!BF42</f>
        <v>0</v>
      </c>
      <c r="AO42" s="63">
        <f>'Local multi year dist'!BG42</f>
        <v>6264.2589275480032</v>
      </c>
      <c r="AP42" s="63">
        <f>'Local multi year dist'!BH42</f>
        <v>7251.2019806900234</v>
      </c>
      <c r="AQ42" s="63">
        <f>'Local multi year dist'!BI42</f>
        <v>2823.7208937948399</v>
      </c>
      <c r="AR42" s="63">
        <f>'Local multi year dist'!BJ42</f>
        <v>3098.0675502262534</v>
      </c>
      <c r="AS42" s="63">
        <f>'Local multi year dist'!BK42</f>
        <v>3300.5329353756611</v>
      </c>
      <c r="AT42" s="63">
        <f>'Local multi year dist'!BL42</f>
        <v>2484.0977959408142</v>
      </c>
      <c r="AU42" s="63">
        <f>'Local multi year dist'!BM42</f>
        <v>3532.8284892143083</v>
      </c>
      <c r="AV42" s="63">
        <f>'Local multi year dist'!BN42</f>
        <v>3554.0318530880272</v>
      </c>
      <c r="AW42" s="63">
        <f>'Local multi year dist'!BO42</f>
        <v>3305.3180368636517</v>
      </c>
      <c r="AX42" s="63">
        <f>'Local multi year dist'!BP42</f>
        <v>3057.5083483557387</v>
      </c>
      <c r="AY42" s="63">
        <f>'Local multi year dist'!BQ42</f>
        <v>2799.734499891576</v>
      </c>
      <c r="AZ42" s="63">
        <f>'Local multi year dist'!BR42</f>
        <v>2185.8426257278352</v>
      </c>
      <c r="BA42" s="63">
        <f>'Local multi year dist'!BS42</f>
        <v>2185.8426257278352</v>
      </c>
      <c r="BB42" s="63">
        <f>'Local multi year dist'!BT42</f>
        <v>2185.8426257278352</v>
      </c>
      <c r="BC42" s="63">
        <f>'Local multi year dist'!BU42</f>
        <v>1806.6706032463608</v>
      </c>
      <c r="BD42" s="63">
        <f>'Local multi year dist'!BV42</f>
        <v>1806.6706032463608</v>
      </c>
      <c r="BE42" s="63">
        <f>'Local multi year dist'!BW42</f>
        <v>1303.9853550763794</v>
      </c>
      <c r="BF42" s="63"/>
      <c r="BG42" s="63"/>
      <c r="BH42" s="63"/>
      <c r="BI42" s="63"/>
      <c r="BJ42" s="63"/>
      <c r="BK42" s="63"/>
      <c r="BL42" s="63"/>
      <c r="BM42" s="63"/>
      <c r="BN42" s="63"/>
      <c r="BO42" s="63"/>
      <c r="BP42" s="63"/>
      <c r="BQ42" s="63"/>
    </row>
    <row r="43" spans="1:69" x14ac:dyDescent="0.25">
      <c r="A43" t="str">
        <f>'Local multi year dist'!S43</f>
        <v>Falls Church City</v>
      </c>
      <c r="B43" s="63">
        <f>'Local multi year dist'!T43</f>
        <v>4147.6768450139998</v>
      </c>
      <c r="C43" s="63">
        <f>'Local multi year dist'!U43</f>
        <v>26257.055698859225</v>
      </c>
      <c r="D43" s="63">
        <f>'Local multi year dist'!V43</f>
        <v>32381.668327741481</v>
      </c>
      <c r="E43" s="63">
        <f>'Local multi year dist'!W43</f>
        <v>12418.298117115737</v>
      </c>
      <c r="F43" s="63">
        <f>'Local multi year dist'!X43</f>
        <v>13344.26384202611</v>
      </c>
      <c r="G43" s="63">
        <f>'Local multi year dist'!Y43</f>
        <v>14181.768510572494</v>
      </c>
      <c r="H43" s="63">
        <f>'Local multi year dist'!Z43</f>
        <v>10804.557930416186</v>
      </c>
      <c r="I43" s="63">
        <f>'Local multi year dist'!AA43</f>
        <v>15142.666644734387</v>
      </c>
      <c r="J43" s="63">
        <f>'Local multi year dist'!AB43</f>
        <v>15211.564801325641</v>
      </c>
      <c r="K43" s="63">
        <f>'Local multi year dist'!AC43</f>
        <v>14242.480429460242</v>
      </c>
      <c r="L43" s="63">
        <f>'Local multi year dist'!AD43</f>
        <v>13217.109043602786</v>
      </c>
      <c r="M43" s="63">
        <f>'Local multi year dist'!AE43</f>
        <v>12150.819112814903</v>
      </c>
      <c r="N43" s="63">
        <f>'Local multi year dist'!AF43</f>
        <v>9272.8508538086771</v>
      </c>
      <c r="O43" s="63">
        <f>'Local multi year dist'!AG43</f>
        <v>9272.8508538086771</v>
      </c>
      <c r="P43" s="63">
        <f>'Local multi year dist'!AH43</f>
        <v>9272.8508538086771</v>
      </c>
      <c r="Q43" s="63">
        <f>'Local multi year dist'!AI43</f>
        <v>7704.3934171161309</v>
      </c>
      <c r="R43" s="63">
        <f>'Local multi year dist'!AJ43</f>
        <v>7704.3934171161309</v>
      </c>
      <c r="S43" s="63">
        <f>'Local multi year dist'!AK43</f>
        <v>5393.9779473250719</v>
      </c>
      <c r="T43" s="63"/>
      <c r="U43" s="63">
        <f>'Local multi year dist'!AM43</f>
        <v>0</v>
      </c>
      <c r="V43" s="63">
        <f>'Local multi year dist'!AN43</f>
        <v>9501.1808269129579</v>
      </c>
      <c r="W43" s="63">
        <f>'Local multi year dist'!AO43</f>
        <v>10998.10560639974</v>
      </c>
      <c r="X43" s="63">
        <f>'Local multi year dist'!AP43</f>
        <v>4282.8183073170812</v>
      </c>
      <c r="Y43" s="63">
        <f>'Local multi year dist'!AQ43</f>
        <v>4698.9277341721618</v>
      </c>
      <c r="Z43" s="63">
        <f>'Local multi year dist'!AR43</f>
        <v>5006.0127793058364</v>
      </c>
      <c r="AA43" s="63">
        <f>'Local multi year dist'!AS43</f>
        <v>3767.7022332485221</v>
      </c>
      <c r="AB43" s="63">
        <f>'Local multi year dist'!AT43</f>
        <v>5358.342095165197</v>
      </c>
      <c r="AC43" s="63">
        <f>'Local multi year dist'!AU43</f>
        <v>5390.5018440889044</v>
      </c>
      <c r="AD43" s="63">
        <f>'Local multi year dist'!AV43</f>
        <v>5013.2704797039778</v>
      </c>
      <c r="AE43" s="63">
        <f>'Local multi year dist'!AW43</f>
        <v>4637.4104317068459</v>
      </c>
      <c r="AF43" s="63">
        <f>'Local multi year dist'!AX43</f>
        <v>4246.4374570846212</v>
      </c>
      <c r="AG43" s="63">
        <f>'Local multi year dist'!AY43</f>
        <v>3315.330079170843</v>
      </c>
      <c r="AH43" s="63">
        <f>'Local multi year dist'!AZ43</f>
        <v>3315.330079170843</v>
      </c>
      <c r="AI43" s="63">
        <f>'Local multi year dist'!BA43</f>
        <v>3315.330079170843</v>
      </c>
      <c r="AJ43" s="63">
        <f>'Local multi year dist'!BB43</f>
        <v>2740.2290190502426</v>
      </c>
      <c r="AK43" s="63">
        <f>'Local multi year dist'!BC43</f>
        <v>2740.2290190502426</v>
      </c>
      <c r="AL43" s="63">
        <f>'Local multi year dist'!BD43</f>
        <v>1977.791914019193</v>
      </c>
      <c r="AN43" s="63">
        <f>'Local multi year dist'!BF43</f>
        <v>0</v>
      </c>
      <c r="AO43" s="63">
        <f>'Local multi year dist'!BG43</f>
        <v>2375.2952067282395</v>
      </c>
      <c r="AP43" s="63">
        <f>'Local multi year dist'!BH43</f>
        <v>2749.5264015999351</v>
      </c>
      <c r="AQ43" s="63">
        <f>'Local multi year dist'!BI43</f>
        <v>1070.7045768292703</v>
      </c>
      <c r="AR43" s="63">
        <f>'Local multi year dist'!BJ43</f>
        <v>1174.7319335430404</v>
      </c>
      <c r="AS43" s="63">
        <f>'Local multi year dist'!BK43</f>
        <v>1251.5031948264591</v>
      </c>
      <c r="AT43" s="63">
        <f>'Local multi year dist'!BL43</f>
        <v>941.92555831213053</v>
      </c>
      <c r="AU43" s="63">
        <f>'Local multi year dist'!BM43</f>
        <v>1339.5855237912992</v>
      </c>
      <c r="AV43" s="63">
        <f>'Local multi year dist'!BN43</f>
        <v>1347.6254610222261</v>
      </c>
      <c r="AW43" s="63">
        <f>'Local multi year dist'!BO43</f>
        <v>1253.3176199259944</v>
      </c>
      <c r="AX43" s="63">
        <f>'Local multi year dist'!BP43</f>
        <v>1159.3526079267115</v>
      </c>
      <c r="AY43" s="63">
        <f>'Local multi year dist'!BQ43</f>
        <v>1061.6093642711553</v>
      </c>
      <c r="AZ43" s="63">
        <f>'Local multi year dist'!BR43</f>
        <v>828.83251979271074</v>
      </c>
      <c r="BA43" s="63">
        <f>'Local multi year dist'!BS43</f>
        <v>828.83251979271074</v>
      </c>
      <c r="BB43" s="63">
        <f>'Local multi year dist'!BT43</f>
        <v>828.83251979271074</v>
      </c>
      <c r="BC43" s="63">
        <f>'Local multi year dist'!BU43</f>
        <v>685.05725476256066</v>
      </c>
      <c r="BD43" s="63">
        <f>'Local multi year dist'!BV43</f>
        <v>685.05725476256066</v>
      </c>
      <c r="BE43" s="63">
        <f>'Local multi year dist'!BW43</f>
        <v>494.44797850479824</v>
      </c>
      <c r="BF43" s="63"/>
      <c r="BG43" s="63"/>
      <c r="BH43" s="63"/>
      <c r="BI43" s="63"/>
      <c r="BJ43" s="63"/>
      <c r="BK43" s="63"/>
      <c r="BL43" s="63"/>
      <c r="BM43" s="63"/>
      <c r="BN43" s="63"/>
      <c r="BO43" s="63"/>
      <c r="BP43" s="63"/>
      <c r="BQ43" s="63"/>
    </row>
    <row r="44" spans="1:69" x14ac:dyDescent="0.25">
      <c r="A44" t="str">
        <f>'Local multi year dist'!S44</f>
        <v>Fauquier County</v>
      </c>
      <c r="B44" s="63">
        <f>'Local multi year dist'!T44</f>
        <v>49202.833161440576</v>
      </c>
      <c r="C44" s="63">
        <f>'Local multi year dist'!U44</f>
        <v>311480.75878058485</v>
      </c>
      <c r="D44" s="63">
        <f>'Local multi year dist'!V44</f>
        <v>384135.47722124693</v>
      </c>
      <c r="E44" s="63">
        <f>'Local multi year dist'!W44</f>
        <v>147315.10511480429</v>
      </c>
      <c r="F44" s="63">
        <f>'Local multi year dist'!X44</f>
        <v>158299.60047893718</v>
      </c>
      <c r="G44" s="63">
        <f>'Local multi year dist'!Y44</f>
        <v>168234.70488032073</v>
      </c>
      <c r="H44" s="63">
        <f>'Local multi year dist'!Z44</f>
        <v>128171.71662552531</v>
      </c>
      <c r="I44" s="63">
        <f>'Local multi year dist'!AA44</f>
        <v>179633.59451106476</v>
      </c>
      <c r="J44" s="63">
        <f>'Local multi year dist'!AB44</f>
        <v>180450.91578043159</v>
      </c>
      <c r="K44" s="63">
        <f>'Local multi year dist'!AC44</f>
        <v>168954.91489849892</v>
      </c>
      <c r="L44" s="63">
        <f>'Local multi year dist'!AD44</f>
        <v>156791.19551724874</v>
      </c>
      <c r="M44" s="63">
        <f>'Local multi year dist'!AE44</f>
        <v>144142.06986770619</v>
      </c>
      <c r="N44" s="63">
        <f>'Local multi year dist'!AF44</f>
        <v>110001.46601086763</v>
      </c>
      <c r="O44" s="63">
        <f>'Local multi year dist'!AG44</f>
        <v>110001.46601086763</v>
      </c>
      <c r="P44" s="63">
        <f>'Local multi year dist'!AH44</f>
        <v>110001.46601086763</v>
      </c>
      <c r="Q44" s="63">
        <f>'Local multi year dist'!AI44</f>
        <v>91395.255242259969</v>
      </c>
      <c r="R44" s="63">
        <f>'Local multi year dist'!AJ44</f>
        <v>91395.255242259969</v>
      </c>
      <c r="S44" s="63">
        <f>'Local multi year dist'!AK44</f>
        <v>63987.385453562121</v>
      </c>
      <c r="T44" s="63"/>
      <c r="U44" s="63">
        <f>'Local multi year dist'!AM44</f>
        <v>0</v>
      </c>
      <c r="V44" s="63">
        <f>'Local multi year dist'!AN44</f>
        <v>112710.08628004584</v>
      </c>
      <c r="W44" s="63">
        <f>'Local multi year dist'!AO44</f>
        <v>130467.72337003611</v>
      </c>
      <c r="X44" s="63">
        <f>'Local multi year dist'!AP44</f>
        <v>50805.981880918305</v>
      </c>
      <c r="Y44" s="63">
        <f>'Local multi year dist'!AQ44</f>
        <v>55742.181944591321</v>
      </c>
      <c r="Z44" s="63">
        <f>'Local multi year dist'!AR44</f>
        <v>59385.053558431966</v>
      </c>
      <c r="AA44" s="63">
        <f>'Local multi year dist'!AS44</f>
        <v>44695.291198340303</v>
      </c>
      <c r="AB44" s="63">
        <f>'Local multi year dist'!AT44</f>
        <v>63564.64642303811</v>
      </c>
      <c r="AC44" s="63">
        <f>'Local multi year dist'!AU44</f>
        <v>63946.149326936997</v>
      </c>
      <c r="AD44" s="63">
        <f>'Local multi year dist'!AV44</f>
        <v>59471.149808253067</v>
      </c>
      <c r="AE44" s="63">
        <f>'Local multi year dist'!AW44</f>
        <v>55012.417866326301</v>
      </c>
      <c r="AF44" s="63">
        <f>'Local multi year dist'!AX44</f>
        <v>50374.405128160695</v>
      </c>
      <c r="AG44" s="63">
        <f>'Local multi year dist'!AY44</f>
        <v>39328.915645065877</v>
      </c>
      <c r="AH44" s="63">
        <f>'Local multi year dist'!AZ44</f>
        <v>39328.915645065877</v>
      </c>
      <c r="AI44" s="63">
        <f>'Local multi year dist'!BA44</f>
        <v>39328.915645065877</v>
      </c>
      <c r="AJ44" s="63">
        <f>'Local multi year dist'!BB44</f>
        <v>32506.63836324307</v>
      </c>
      <c r="AK44" s="63">
        <f>'Local multi year dist'!BC44</f>
        <v>32506.63836324307</v>
      </c>
      <c r="AL44" s="63">
        <f>'Local multi year dist'!BD44</f>
        <v>23462.041332972774</v>
      </c>
      <c r="AN44" s="63">
        <f>'Local multi year dist'!BF44</f>
        <v>0</v>
      </c>
      <c r="AO44" s="63">
        <f>'Local multi year dist'!BG44</f>
        <v>28177.52157001146</v>
      </c>
      <c r="AP44" s="63">
        <f>'Local multi year dist'!BH44</f>
        <v>32616.930842509028</v>
      </c>
      <c r="AQ44" s="63">
        <f>'Local multi year dist'!BI44</f>
        <v>12701.495470229576</v>
      </c>
      <c r="AR44" s="63">
        <f>'Local multi year dist'!BJ44</f>
        <v>13935.54548614783</v>
      </c>
      <c r="AS44" s="63">
        <f>'Local multi year dist'!BK44</f>
        <v>14846.263389607991</v>
      </c>
      <c r="AT44" s="63">
        <f>'Local multi year dist'!BL44</f>
        <v>11173.822799585076</v>
      </c>
      <c r="AU44" s="63">
        <f>'Local multi year dist'!BM44</f>
        <v>15891.161605759527</v>
      </c>
      <c r="AV44" s="63">
        <f>'Local multi year dist'!BN44</f>
        <v>15986.537331734249</v>
      </c>
      <c r="AW44" s="63">
        <f>'Local multi year dist'!BO44</f>
        <v>14867.787452063267</v>
      </c>
      <c r="AX44" s="63">
        <f>'Local multi year dist'!BP44</f>
        <v>13753.104466581575</v>
      </c>
      <c r="AY44" s="63">
        <f>'Local multi year dist'!BQ44</f>
        <v>12593.601282040174</v>
      </c>
      <c r="AZ44" s="63">
        <f>'Local multi year dist'!BR44</f>
        <v>9832.2289112664694</v>
      </c>
      <c r="BA44" s="63">
        <f>'Local multi year dist'!BS44</f>
        <v>9832.2289112664694</v>
      </c>
      <c r="BB44" s="63">
        <f>'Local multi year dist'!BT44</f>
        <v>9832.2289112664694</v>
      </c>
      <c r="BC44" s="63">
        <f>'Local multi year dist'!BU44</f>
        <v>8126.6595908107674</v>
      </c>
      <c r="BD44" s="63">
        <f>'Local multi year dist'!BV44</f>
        <v>8126.6595908107674</v>
      </c>
      <c r="BE44" s="63">
        <f>'Local multi year dist'!BW44</f>
        <v>5865.5103332431936</v>
      </c>
      <c r="BF44" s="63"/>
      <c r="BG44" s="63"/>
      <c r="BH44" s="63"/>
      <c r="BI44" s="63"/>
      <c r="BJ44" s="63"/>
      <c r="BK44" s="63"/>
      <c r="BL44" s="63"/>
      <c r="BM44" s="63"/>
      <c r="BN44" s="63"/>
      <c r="BO44" s="63"/>
      <c r="BP44" s="63"/>
      <c r="BQ44" s="63"/>
    </row>
    <row r="45" spans="1:69" x14ac:dyDescent="0.25">
      <c r="A45" t="str">
        <f>'Local multi year dist'!S45</f>
        <v>Floyd County</v>
      </c>
      <c r="B45" s="63">
        <f>'Local multi year dist'!T45</f>
        <v>7400.7567234563521</v>
      </c>
      <c r="C45" s="63">
        <f>'Local multi year dist'!U45</f>
        <v>46850.824874435079</v>
      </c>
      <c r="D45" s="63">
        <f>'Local multi year dist'!V45</f>
        <v>57779.055251460282</v>
      </c>
      <c r="E45" s="63">
        <f>'Local multi year dist'!W45</f>
        <v>22158.139777598662</v>
      </c>
      <c r="F45" s="63">
        <f>'Local multi year dist'!X45</f>
        <v>23810.353129889725</v>
      </c>
      <c r="G45" s="63">
        <f>'Local multi year dist'!Y45</f>
        <v>25304.724205139155</v>
      </c>
      <c r="H45" s="63">
        <f>'Local multi year dist'!Z45</f>
        <v>19278.721013095543</v>
      </c>
      <c r="I45" s="63">
        <f>'Local multi year dist'!AA45</f>
        <v>27019.267934722138</v>
      </c>
      <c r="J45" s="63">
        <f>'Local multi year dist'!AB45</f>
        <v>27142.203861188886</v>
      </c>
      <c r="K45" s="63">
        <f>'Local multi year dist'!AC45</f>
        <v>25413.053315311408</v>
      </c>
      <c r="L45" s="63">
        <f>'Local multi year dist'!AD45</f>
        <v>23583.469077801048</v>
      </c>
      <c r="M45" s="63">
        <f>'Local multi year dist'!AE45</f>
        <v>21680.873318944236</v>
      </c>
      <c r="N45" s="63">
        <f>'Local multi year dist'!AF45</f>
        <v>16545.675052874307</v>
      </c>
      <c r="O45" s="63">
        <f>'Local multi year dist'!AG45</f>
        <v>16545.675052874307</v>
      </c>
      <c r="P45" s="63">
        <f>'Local multi year dist'!AH45</f>
        <v>16545.675052874307</v>
      </c>
      <c r="Q45" s="63">
        <f>'Local multi year dist'!AI45</f>
        <v>13747.054920736624</v>
      </c>
      <c r="R45" s="63">
        <f>'Local multi year dist'!AJ45</f>
        <v>13747.054920736624</v>
      </c>
      <c r="S45" s="63">
        <f>'Local multi year dist'!AK45</f>
        <v>9624.5488864035578</v>
      </c>
      <c r="T45" s="63"/>
      <c r="U45" s="63">
        <f>'Local multi year dist'!AM45</f>
        <v>0</v>
      </c>
      <c r="V45" s="63">
        <f>'Local multi year dist'!AN45</f>
        <v>16953.087357825079</v>
      </c>
      <c r="W45" s="63">
        <f>'Local multi year dist'!AO45</f>
        <v>19624.07078788973</v>
      </c>
      <c r="X45" s="63">
        <f>'Local multi year dist'!AP45</f>
        <v>7641.8914895265552</v>
      </c>
      <c r="Y45" s="63">
        <f>'Local multi year dist'!AQ45</f>
        <v>8384.3612511699357</v>
      </c>
      <c r="Z45" s="63">
        <f>'Local multi year dist'!AR45</f>
        <v>8932.2973120947263</v>
      </c>
      <c r="AA45" s="63">
        <f>'Local multi year dist'!AS45</f>
        <v>6722.762808345401</v>
      </c>
      <c r="AB45" s="63">
        <f>'Local multi year dist'!AT45</f>
        <v>9560.9633462751535</v>
      </c>
      <c r="AC45" s="63">
        <f>'Local multi year dist'!AU45</f>
        <v>9618.3464276880441</v>
      </c>
      <c r="AD45" s="63">
        <f>'Local multi year dist'!AV45</f>
        <v>8945.2473265306271</v>
      </c>
      <c r="AE45" s="63">
        <f>'Local multi year dist'!AW45</f>
        <v>8274.5950840259393</v>
      </c>
      <c r="AF45" s="63">
        <f>'Local multi year dist'!AX45</f>
        <v>7576.9766391117746</v>
      </c>
      <c r="AG45" s="63">
        <f>'Local multi year dist'!AY45</f>
        <v>5915.5889647950335</v>
      </c>
      <c r="AH45" s="63">
        <f>'Local multi year dist'!AZ45</f>
        <v>5915.5889647950335</v>
      </c>
      <c r="AI45" s="63">
        <f>'Local multi year dist'!BA45</f>
        <v>5915.5889647950335</v>
      </c>
      <c r="AJ45" s="63">
        <f>'Local multi year dist'!BB45</f>
        <v>4889.4282496778833</v>
      </c>
      <c r="AK45" s="63">
        <f>'Local multi year dist'!BC45</f>
        <v>4889.4282496778833</v>
      </c>
      <c r="AL45" s="63">
        <f>'Local multi year dist'!BD45</f>
        <v>3529.0012583479711</v>
      </c>
      <c r="AN45" s="63">
        <f>'Local multi year dist'!BF45</f>
        <v>0</v>
      </c>
      <c r="AO45" s="63">
        <f>'Local multi year dist'!BG45</f>
        <v>4238.2718394562698</v>
      </c>
      <c r="AP45" s="63">
        <f>'Local multi year dist'!BH45</f>
        <v>4906.0176969724325</v>
      </c>
      <c r="AQ45" s="63">
        <f>'Local multi year dist'!BI45</f>
        <v>1910.4728723816388</v>
      </c>
      <c r="AR45" s="63">
        <f>'Local multi year dist'!BJ45</f>
        <v>2096.0903127924839</v>
      </c>
      <c r="AS45" s="63">
        <f>'Local multi year dist'!BK45</f>
        <v>2233.0743280236816</v>
      </c>
      <c r="AT45" s="63">
        <f>'Local multi year dist'!BL45</f>
        <v>1680.6907020863503</v>
      </c>
      <c r="AU45" s="63">
        <f>'Local multi year dist'!BM45</f>
        <v>2390.2408365687884</v>
      </c>
      <c r="AV45" s="63">
        <f>'Local multi year dist'!BN45</f>
        <v>2404.586606922011</v>
      </c>
      <c r="AW45" s="63">
        <f>'Local multi year dist'!BO45</f>
        <v>2236.3118316326568</v>
      </c>
      <c r="AX45" s="63">
        <f>'Local multi year dist'!BP45</f>
        <v>2068.6487710064848</v>
      </c>
      <c r="AY45" s="63">
        <f>'Local multi year dist'!BQ45</f>
        <v>1894.2441597779437</v>
      </c>
      <c r="AZ45" s="63">
        <f>'Local multi year dist'!BR45</f>
        <v>1478.8972411987584</v>
      </c>
      <c r="BA45" s="63">
        <f>'Local multi year dist'!BS45</f>
        <v>1478.8972411987584</v>
      </c>
      <c r="BB45" s="63">
        <f>'Local multi year dist'!BT45</f>
        <v>1478.8972411987584</v>
      </c>
      <c r="BC45" s="63">
        <f>'Local multi year dist'!BU45</f>
        <v>1222.3570624194708</v>
      </c>
      <c r="BD45" s="63">
        <f>'Local multi year dist'!BV45</f>
        <v>1222.3570624194708</v>
      </c>
      <c r="BE45" s="63">
        <f>'Local multi year dist'!BW45</f>
        <v>882.25031458699277</v>
      </c>
      <c r="BF45" s="63"/>
      <c r="BG45" s="63"/>
      <c r="BH45" s="63"/>
      <c r="BI45" s="63"/>
      <c r="BJ45" s="63"/>
      <c r="BK45" s="63"/>
      <c r="BL45" s="63"/>
      <c r="BM45" s="63"/>
      <c r="BN45" s="63"/>
      <c r="BO45" s="63"/>
      <c r="BP45" s="63"/>
      <c r="BQ45" s="63"/>
    </row>
    <row r="46" spans="1:69" x14ac:dyDescent="0.25">
      <c r="A46" t="str">
        <f>'Local multi year dist'!S46</f>
        <v>Fluvanna County</v>
      </c>
      <c r="B46" s="63">
        <f>'Local multi year dist'!T46</f>
        <v>7888.7187052227046</v>
      </c>
      <c r="C46" s="63">
        <f>'Local multi year dist'!U46</f>
        <v>49939.890250771459</v>
      </c>
      <c r="D46" s="63">
        <f>'Local multi year dist'!V46</f>
        <v>61588.663290018099</v>
      </c>
      <c r="E46" s="63">
        <f>'Local multi year dist'!W46</f>
        <v>23619.116026671105</v>
      </c>
      <c r="F46" s="63">
        <f>'Local multi year dist'!X46</f>
        <v>25380.266523069266</v>
      </c>
      <c r="G46" s="63">
        <f>'Local multi year dist'!Y46</f>
        <v>26973.167559324153</v>
      </c>
      <c r="H46" s="63">
        <f>'Local multi year dist'!Z46</f>
        <v>20549.845475497448</v>
      </c>
      <c r="I46" s="63">
        <f>'Local multi year dist'!AA46</f>
        <v>28800.758128220303</v>
      </c>
      <c r="J46" s="63">
        <f>'Local multi year dist'!AB46</f>
        <v>28931.799720168376</v>
      </c>
      <c r="K46" s="63">
        <f>'Local multi year dist'!AC46</f>
        <v>27088.639248189083</v>
      </c>
      <c r="L46" s="63">
        <f>'Local multi year dist'!AD46</f>
        <v>25138.423082930789</v>
      </c>
      <c r="M46" s="63">
        <f>'Local multi year dist'!AE46</f>
        <v>23110.381449863635</v>
      </c>
      <c r="N46" s="63">
        <f>'Local multi year dist'!AF46</f>
        <v>17636.598682734151</v>
      </c>
      <c r="O46" s="63">
        <f>'Local multi year dist'!AG46</f>
        <v>17636.598682734151</v>
      </c>
      <c r="P46" s="63">
        <f>'Local multi year dist'!AH46</f>
        <v>17636.598682734151</v>
      </c>
      <c r="Q46" s="63">
        <f>'Local multi year dist'!AI46</f>
        <v>14653.454146279697</v>
      </c>
      <c r="R46" s="63">
        <f>'Local multi year dist'!AJ46</f>
        <v>14653.454146279697</v>
      </c>
      <c r="S46" s="63">
        <f>'Local multi year dist'!AK46</f>
        <v>10259.134527265333</v>
      </c>
      <c r="T46" s="63"/>
      <c r="U46" s="63">
        <f>'Local multi year dist'!AM46</f>
        <v>0</v>
      </c>
      <c r="V46" s="63">
        <f>'Local multi year dist'!AN46</f>
        <v>18070.873337461897</v>
      </c>
      <c r="W46" s="63">
        <f>'Local multi year dist'!AO46</f>
        <v>20917.965565113231</v>
      </c>
      <c r="X46" s="63">
        <f>'Local multi year dist'!AP46</f>
        <v>8145.7524668579772</v>
      </c>
      <c r="Y46" s="63">
        <f>'Local multi year dist'!AQ46</f>
        <v>8937.1762787196003</v>
      </c>
      <c r="Z46" s="63">
        <f>'Local multi year dist'!AR46</f>
        <v>9521.2399920130592</v>
      </c>
      <c r="AA46" s="63">
        <f>'Local multi year dist'!AS46</f>
        <v>7166.021894609933</v>
      </c>
      <c r="AB46" s="63">
        <f>'Local multi year dist'!AT46</f>
        <v>10191.356533941647</v>
      </c>
      <c r="AC46" s="63">
        <f>'Local multi year dist'!AU46</f>
        <v>10252.523115227916</v>
      </c>
      <c r="AD46" s="63">
        <f>'Local multi year dist'!AV46</f>
        <v>9535.0438535546236</v>
      </c>
      <c r="AE46" s="63">
        <f>'Local multi year dist'!AW46</f>
        <v>8820.1727818738036</v>
      </c>
      <c r="AF46" s="63">
        <f>'Local multi year dist'!AX46</f>
        <v>8076.5575164158481</v>
      </c>
      <c r="AG46" s="63">
        <f>'Local multi year dist'!AY46</f>
        <v>6305.6277976386618</v>
      </c>
      <c r="AH46" s="63">
        <f>'Local multi year dist'!AZ46</f>
        <v>6305.6277976386618</v>
      </c>
      <c r="AI46" s="63">
        <f>'Local multi year dist'!BA46</f>
        <v>6305.6277976386618</v>
      </c>
      <c r="AJ46" s="63">
        <f>'Local multi year dist'!BB46</f>
        <v>5211.8081342720297</v>
      </c>
      <c r="AK46" s="63">
        <f>'Local multi year dist'!BC46</f>
        <v>5211.8081342720297</v>
      </c>
      <c r="AL46" s="63">
        <f>'Local multi year dist'!BD46</f>
        <v>3761.6826599972878</v>
      </c>
      <c r="AN46" s="63">
        <f>'Local multi year dist'!BF46</f>
        <v>0</v>
      </c>
      <c r="AO46" s="63">
        <f>'Local multi year dist'!BG46</f>
        <v>4517.7183343654742</v>
      </c>
      <c r="AP46" s="63">
        <f>'Local multi year dist'!BH46</f>
        <v>5229.4913912783077</v>
      </c>
      <c r="AQ46" s="63">
        <f>'Local multi year dist'!BI46</f>
        <v>2036.4381167144943</v>
      </c>
      <c r="AR46" s="63">
        <f>'Local multi year dist'!BJ46</f>
        <v>2234.2940696799001</v>
      </c>
      <c r="AS46" s="63">
        <f>'Local multi year dist'!BK46</f>
        <v>2380.3099980032648</v>
      </c>
      <c r="AT46" s="63">
        <f>'Local multi year dist'!BL46</f>
        <v>1791.5054736524833</v>
      </c>
      <c r="AU46" s="63">
        <f>'Local multi year dist'!BM46</f>
        <v>2547.8391334854118</v>
      </c>
      <c r="AV46" s="63">
        <f>'Local multi year dist'!BN46</f>
        <v>2563.1307788069789</v>
      </c>
      <c r="AW46" s="63">
        <f>'Local multi year dist'!BO46</f>
        <v>2383.7609633886559</v>
      </c>
      <c r="AX46" s="63">
        <f>'Local multi year dist'!BP46</f>
        <v>2205.0431954684509</v>
      </c>
      <c r="AY46" s="63">
        <f>'Local multi year dist'!BQ46</f>
        <v>2019.139379103962</v>
      </c>
      <c r="AZ46" s="63">
        <f>'Local multi year dist'!BR46</f>
        <v>1576.4069494096655</v>
      </c>
      <c r="BA46" s="63">
        <f>'Local multi year dist'!BS46</f>
        <v>1576.4069494096655</v>
      </c>
      <c r="BB46" s="63">
        <f>'Local multi year dist'!BT46</f>
        <v>1576.4069494096655</v>
      </c>
      <c r="BC46" s="63">
        <f>'Local multi year dist'!BU46</f>
        <v>1302.9520335680074</v>
      </c>
      <c r="BD46" s="63">
        <f>'Local multi year dist'!BV46</f>
        <v>1302.9520335680074</v>
      </c>
      <c r="BE46" s="63">
        <f>'Local multi year dist'!BW46</f>
        <v>940.42066499932196</v>
      </c>
      <c r="BF46" s="63"/>
      <c r="BG46" s="63"/>
      <c r="BH46" s="63"/>
      <c r="BI46" s="63"/>
      <c r="BJ46" s="63"/>
      <c r="BK46" s="63"/>
      <c r="BL46" s="63"/>
      <c r="BM46" s="63"/>
      <c r="BN46" s="63"/>
      <c r="BO46" s="63"/>
      <c r="BP46" s="63"/>
      <c r="BQ46" s="63"/>
    </row>
    <row r="47" spans="1:69" x14ac:dyDescent="0.25">
      <c r="A47" t="str">
        <f>'Local multi year dist'!S47</f>
        <v>Franklin County</v>
      </c>
      <c r="B47" s="63">
        <f>'Local multi year dist'!T47</f>
        <v>38792.977550425094</v>
      </c>
      <c r="C47" s="63">
        <f>'Local multi year dist'!U47</f>
        <v>245580.69741874238</v>
      </c>
      <c r="D47" s="63">
        <f>'Local multi year dist'!V47</f>
        <v>302863.83906534704</v>
      </c>
      <c r="E47" s="63">
        <f>'Local multi year dist'!W47</f>
        <v>116147.61180125906</v>
      </c>
      <c r="F47" s="63">
        <f>'Local multi year dist'!X47</f>
        <v>124808.11475777374</v>
      </c>
      <c r="G47" s="63">
        <f>'Local multi year dist'!Y47</f>
        <v>132641.24665770758</v>
      </c>
      <c r="H47" s="63">
        <f>'Local multi year dist'!Z47</f>
        <v>101054.39476095147</v>
      </c>
      <c r="I47" s="63">
        <f>'Local multi year dist'!AA47</f>
        <v>141628.47038310411</v>
      </c>
      <c r="J47" s="63">
        <f>'Local multi year dist'!AB47</f>
        <v>142272.87078886936</v>
      </c>
      <c r="K47" s="63">
        <f>'Local multi year dist'!AC47</f>
        <v>133209.08166377532</v>
      </c>
      <c r="L47" s="63">
        <f>'Local multi year dist'!AD47</f>
        <v>123618.84340781442</v>
      </c>
      <c r="M47" s="63">
        <f>'Local multi year dist'!AE47</f>
        <v>113645.89640809243</v>
      </c>
      <c r="N47" s="63">
        <f>'Local multi year dist'!AF47</f>
        <v>86728.428573857716</v>
      </c>
      <c r="O47" s="63">
        <f>'Local multi year dist'!AG47</f>
        <v>86728.428573857716</v>
      </c>
      <c r="P47" s="63">
        <f>'Local multi year dist'!AH47</f>
        <v>86728.428573857716</v>
      </c>
      <c r="Q47" s="63">
        <f>'Local multi year dist'!AI47</f>
        <v>72058.738430674464</v>
      </c>
      <c r="R47" s="63">
        <f>'Local multi year dist'!AJ47</f>
        <v>72058.738430674464</v>
      </c>
      <c r="S47" s="63">
        <f>'Local multi year dist'!AK47</f>
        <v>50449.558448511016</v>
      </c>
      <c r="T47" s="63"/>
      <c r="U47" s="63">
        <f>'Local multi year dist'!AM47</f>
        <v>0</v>
      </c>
      <c r="V47" s="63">
        <f>'Local multi year dist'!AN47</f>
        <v>88863.985381127161</v>
      </c>
      <c r="W47" s="63">
        <f>'Local multi year dist'!AO47</f>
        <v>102864.63478926825</v>
      </c>
      <c r="X47" s="63">
        <f>'Local multi year dist'!AP47</f>
        <v>40056.947697848031</v>
      </c>
      <c r="Y47" s="63">
        <f>'Local multi year dist'!AQ47</f>
        <v>43948.794690198498</v>
      </c>
      <c r="Z47" s="63">
        <f>'Local multi year dist'!AR47</f>
        <v>46820.943053507566</v>
      </c>
      <c r="AA47" s="63">
        <f>'Local multi year dist'!AS47</f>
        <v>35239.097358030325</v>
      </c>
      <c r="AB47" s="63">
        <f>'Local multi year dist'!AT47</f>
        <v>50116.258419486301</v>
      </c>
      <c r="AC47" s="63">
        <f>'Local multi year dist'!AU47</f>
        <v>50417.046659419801</v>
      </c>
      <c r="AD47" s="63">
        <f>'Local multi year dist'!AV47</f>
        <v>46888.823898407842</v>
      </c>
      <c r="AE47" s="63">
        <f>'Local multi year dist'!AW47</f>
        <v>43373.426978905249</v>
      </c>
      <c r="AF47" s="63">
        <f>'Local multi year dist'!AX47</f>
        <v>39716.67974567385</v>
      </c>
      <c r="AG47" s="63">
        <f>'Local multi year dist'!AY47</f>
        <v>31008.087211068501</v>
      </c>
      <c r="AH47" s="63">
        <f>'Local multi year dist'!AZ47</f>
        <v>31008.087211068501</v>
      </c>
      <c r="AI47" s="63">
        <f>'Local multi year dist'!BA47</f>
        <v>31008.087211068501</v>
      </c>
      <c r="AJ47" s="63">
        <f>'Local multi year dist'!BB47</f>
        <v>25629.200825234646</v>
      </c>
      <c r="AK47" s="63">
        <f>'Local multi year dist'!BC47</f>
        <v>25629.200825234646</v>
      </c>
      <c r="AL47" s="63">
        <f>'Local multi year dist'!BD47</f>
        <v>18498.171431120703</v>
      </c>
      <c r="AN47" s="63">
        <f>'Local multi year dist'!BF47</f>
        <v>0</v>
      </c>
      <c r="AO47" s="63">
        <f>'Local multi year dist'!BG47</f>
        <v>22215.99634528179</v>
      </c>
      <c r="AP47" s="63">
        <f>'Local multi year dist'!BH47</f>
        <v>25716.158697317063</v>
      </c>
      <c r="AQ47" s="63">
        <f>'Local multi year dist'!BI47</f>
        <v>10014.236924462008</v>
      </c>
      <c r="AR47" s="63">
        <f>'Local multi year dist'!BJ47</f>
        <v>10987.198672549624</v>
      </c>
      <c r="AS47" s="63">
        <f>'Local multi year dist'!BK47</f>
        <v>11705.235763376892</v>
      </c>
      <c r="AT47" s="63">
        <f>'Local multi year dist'!BL47</f>
        <v>8809.7743395075813</v>
      </c>
      <c r="AU47" s="63">
        <f>'Local multi year dist'!BM47</f>
        <v>12529.064604871575</v>
      </c>
      <c r="AV47" s="63">
        <f>'Local multi year dist'!BN47</f>
        <v>12604.26166485495</v>
      </c>
      <c r="AW47" s="63">
        <f>'Local multi year dist'!BO47</f>
        <v>11722.20597460196</v>
      </c>
      <c r="AX47" s="63">
        <f>'Local multi year dist'!BP47</f>
        <v>10843.356744726312</v>
      </c>
      <c r="AY47" s="63">
        <f>'Local multi year dist'!BQ47</f>
        <v>9929.1699364184624</v>
      </c>
      <c r="AZ47" s="63">
        <f>'Local multi year dist'!BR47</f>
        <v>7752.0218027671253</v>
      </c>
      <c r="BA47" s="63">
        <f>'Local multi year dist'!BS47</f>
        <v>7752.0218027671253</v>
      </c>
      <c r="BB47" s="63">
        <f>'Local multi year dist'!BT47</f>
        <v>7752.0218027671253</v>
      </c>
      <c r="BC47" s="63">
        <f>'Local multi year dist'!BU47</f>
        <v>6407.3002063086615</v>
      </c>
      <c r="BD47" s="63">
        <f>'Local multi year dist'!BV47</f>
        <v>6407.3002063086615</v>
      </c>
      <c r="BE47" s="63">
        <f>'Local multi year dist'!BW47</f>
        <v>4624.5428577801758</v>
      </c>
      <c r="BF47" s="63"/>
      <c r="BG47" s="63"/>
      <c r="BH47" s="63"/>
      <c r="BI47" s="63"/>
      <c r="BJ47" s="63"/>
      <c r="BK47" s="63"/>
      <c r="BL47" s="63"/>
      <c r="BM47" s="63"/>
      <c r="BN47" s="63"/>
      <c r="BO47" s="63"/>
      <c r="BP47" s="63"/>
      <c r="BQ47" s="63"/>
    </row>
    <row r="48" spans="1:69" x14ac:dyDescent="0.25">
      <c r="A48" t="str">
        <f>'Local multi year dist'!S48</f>
        <v>Franklin City</v>
      </c>
      <c r="B48" s="63">
        <f>'Local multi year dist'!T48</f>
        <v>3212.4163799618227</v>
      </c>
      <c r="C48" s="63">
        <f>'Local multi year dist'!U48</f>
        <v>20336.347060881162</v>
      </c>
      <c r="D48" s="63">
        <f>'Local multi year dist'!V48</f>
        <v>25079.91958717232</v>
      </c>
      <c r="E48" s="63">
        <f>'Local multi year dist'!W48</f>
        <v>9618.0936397268924</v>
      </c>
      <c r="F48" s="63">
        <f>'Local multi year dist'!X48</f>
        <v>10335.26317176532</v>
      </c>
      <c r="G48" s="63">
        <f>'Local multi year dist'!Y48</f>
        <v>10983.918748384578</v>
      </c>
      <c r="H48" s="63">
        <f>'Local multi year dist'!Z48</f>
        <v>8368.2360441458677</v>
      </c>
      <c r="I48" s="63">
        <f>'Local multi year dist'!AA48</f>
        <v>11728.143773862907</v>
      </c>
      <c r="J48" s="63">
        <f>'Local multi year dist'!AB48</f>
        <v>11781.506071614956</v>
      </c>
      <c r="K48" s="63">
        <f>'Local multi year dist'!AC48</f>
        <v>11030.940724778029</v>
      </c>
      <c r="L48" s="63">
        <f>'Local multi year dist'!AD48</f>
        <v>10236.780533770785</v>
      </c>
      <c r="M48" s="63">
        <f>'Local multi year dist'!AE48</f>
        <v>9410.9285285527167</v>
      </c>
      <c r="N48" s="63">
        <f>'Local multi year dist'!AF48</f>
        <v>7181.9138965773082</v>
      </c>
      <c r="O48" s="63">
        <f>'Local multi year dist'!AG48</f>
        <v>7181.9138965773082</v>
      </c>
      <c r="P48" s="63">
        <f>'Local multi year dist'!AH48</f>
        <v>7181.9138965773082</v>
      </c>
      <c r="Q48" s="63">
        <f>'Local multi year dist'!AI48</f>
        <v>5967.1282348252371</v>
      </c>
      <c r="R48" s="63">
        <f>'Local multi year dist'!AJ48</f>
        <v>5967.1282348252371</v>
      </c>
      <c r="S48" s="63">
        <f>'Local multi year dist'!AK48</f>
        <v>4177.6888023400061</v>
      </c>
      <c r="T48" s="63"/>
      <c r="U48" s="63">
        <f>'Local multi year dist'!AM48</f>
        <v>0</v>
      </c>
      <c r="V48" s="63">
        <f>'Local multi year dist'!AN48</f>
        <v>7358.7576992757204</v>
      </c>
      <c r="W48" s="63">
        <f>'Local multi year dist'!AO48</f>
        <v>8518.1406167213663</v>
      </c>
      <c r="X48" s="63">
        <f>'Local multi year dist'!AP48</f>
        <v>3317.0847674318566</v>
      </c>
      <c r="Y48" s="63">
        <f>'Local multi year dist'!AQ48</f>
        <v>3639.3655980353014</v>
      </c>
      <c r="Z48" s="63">
        <f>'Local multi year dist'!AR48</f>
        <v>3877.2059761290293</v>
      </c>
      <c r="AA48" s="63">
        <f>'Local multi year dist'!AS48</f>
        <v>2918.1223179081685</v>
      </c>
      <c r="AB48" s="63">
        <f>'Local multi year dist'!AT48</f>
        <v>4150.088485471083</v>
      </c>
      <c r="AC48" s="63">
        <f>'Local multi year dist'!AU48</f>
        <v>4174.9965263041513</v>
      </c>
      <c r="AD48" s="63">
        <f>'Local multi year dist'!AV48</f>
        <v>3882.8271362413157</v>
      </c>
      <c r="AE48" s="63">
        <f>'Local multi year dist'!AW48</f>
        <v>3591.7198441651058</v>
      </c>
      <c r="AF48" s="63">
        <f>'Local multi year dist'!AX48</f>
        <v>3288.9074422518142</v>
      </c>
      <c r="AG48" s="63">
        <f>'Local multi year dist'!AY48</f>
        <v>2567.7556495538879</v>
      </c>
      <c r="AH48" s="63">
        <f>'Local multi year dist'!AZ48</f>
        <v>2567.7556495538879</v>
      </c>
      <c r="AI48" s="63">
        <f>'Local multi year dist'!BA48</f>
        <v>2567.7556495538879</v>
      </c>
      <c r="AJ48" s="63">
        <f>'Local multi year dist'!BB48</f>
        <v>2122.3342402447956</v>
      </c>
      <c r="AK48" s="63">
        <f>'Local multi year dist'!BC48</f>
        <v>2122.3342402447956</v>
      </c>
      <c r="AL48" s="63">
        <f>'Local multi year dist'!BD48</f>
        <v>1531.8192275246688</v>
      </c>
      <c r="AN48" s="63">
        <f>'Local multi year dist'!BF48</f>
        <v>0</v>
      </c>
      <c r="AO48" s="63">
        <f>'Local multi year dist'!BG48</f>
        <v>1839.6894248189301</v>
      </c>
      <c r="AP48" s="63">
        <f>'Local multi year dist'!BH48</f>
        <v>2129.5351541803416</v>
      </c>
      <c r="AQ48" s="63">
        <f>'Local multi year dist'!BI48</f>
        <v>829.27119185796414</v>
      </c>
      <c r="AR48" s="63">
        <f>'Local multi year dist'!BJ48</f>
        <v>909.84139950882536</v>
      </c>
      <c r="AS48" s="63">
        <f>'Local multi year dist'!BK48</f>
        <v>969.30149403225732</v>
      </c>
      <c r="AT48" s="63">
        <f>'Local multi year dist'!BL48</f>
        <v>729.53057947704212</v>
      </c>
      <c r="AU48" s="63">
        <f>'Local multi year dist'!BM48</f>
        <v>1037.5221213677708</v>
      </c>
      <c r="AV48" s="63">
        <f>'Local multi year dist'!BN48</f>
        <v>1043.7491315760378</v>
      </c>
      <c r="AW48" s="63">
        <f>'Local multi year dist'!BO48</f>
        <v>970.70678406032891</v>
      </c>
      <c r="AX48" s="63">
        <f>'Local multi year dist'!BP48</f>
        <v>897.92996104127644</v>
      </c>
      <c r="AY48" s="63">
        <f>'Local multi year dist'!BQ48</f>
        <v>822.22686056295356</v>
      </c>
      <c r="AZ48" s="63">
        <f>'Local multi year dist'!BR48</f>
        <v>641.93891238847198</v>
      </c>
      <c r="BA48" s="63">
        <f>'Local multi year dist'!BS48</f>
        <v>641.93891238847198</v>
      </c>
      <c r="BB48" s="63">
        <f>'Local multi year dist'!BT48</f>
        <v>641.93891238847198</v>
      </c>
      <c r="BC48" s="63">
        <f>'Local multi year dist'!BU48</f>
        <v>530.58356006119891</v>
      </c>
      <c r="BD48" s="63">
        <f>'Local multi year dist'!BV48</f>
        <v>530.58356006119891</v>
      </c>
      <c r="BE48" s="63">
        <f>'Local multi year dist'!BW48</f>
        <v>382.9548068811672</v>
      </c>
      <c r="BF48" s="63"/>
      <c r="BG48" s="63"/>
      <c r="BH48" s="63"/>
      <c r="BI48" s="63"/>
      <c r="BJ48" s="63"/>
      <c r="BK48" s="63"/>
      <c r="BL48" s="63"/>
      <c r="BM48" s="63"/>
      <c r="BN48" s="63"/>
      <c r="BO48" s="63"/>
      <c r="BP48" s="63"/>
      <c r="BQ48" s="63"/>
    </row>
    <row r="49" spans="1:69" x14ac:dyDescent="0.25">
      <c r="A49" t="str">
        <f>'Local multi year dist'!S49</f>
        <v>Frederick County</v>
      </c>
      <c r="B49" s="63">
        <f>'Local multi year dist'!T49</f>
        <v>51927.287559636046</v>
      </c>
      <c r="C49" s="63">
        <f>'Local multi year dist'!U49</f>
        <v>328728.04046512966</v>
      </c>
      <c r="D49" s="63">
        <f>'Local multi year dist'!V49</f>
        <v>405405.78876986139</v>
      </c>
      <c r="E49" s="63">
        <f>'Local multi year dist'!W49</f>
        <v>155472.22250545875</v>
      </c>
      <c r="F49" s="63">
        <f>'Local multi year dist'!X49</f>
        <v>167064.95025752296</v>
      </c>
      <c r="G49" s="63">
        <f>'Local multi year dist'!Y49</f>
        <v>177550.18027452033</v>
      </c>
      <c r="H49" s="63">
        <f>'Local multi year dist'!Z49</f>
        <v>135268.82820726928</v>
      </c>
      <c r="I49" s="63">
        <f>'Local multi year dist'!AA49</f>
        <v>189580.2480914295</v>
      </c>
      <c r="J49" s="63">
        <f>'Local multi year dist'!AB49</f>
        <v>190442.82599306706</v>
      </c>
      <c r="K49" s="63">
        <f>'Local multi year dist'!AC49</f>
        <v>178310.26969039929</v>
      </c>
      <c r="L49" s="63">
        <f>'Local multi year dist'!AD49</f>
        <v>165473.02204588978</v>
      </c>
      <c r="M49" s="63">
        <f>'Local multi year dist'!AE49</f>
        <v>152123.4902653395</v>
      </c>
      <c r="N49" s="63">
        <f>'Local multi year dist'!AF49</f>
        <v>116092.45627758509</v>
      </c>
      <c r="O49" s="63">
        <f>'Local multi year dist'!AG49</f>
        <v>116092.45627758509</v>
      </c>
      <c r="P49" s="63">
        <f>'Local multi year dist'!AH49</f>
        <v>116092.45627758509</v>
      </c>
      <c r="Q49" s="63">
        <f>'Local multi year dist'!AI49</f>
        <v>96455.984251542133</v>
      </c>
      <c r="R49" s="63">
        <f>'Local multi year dist'!AJ49</f>
        <v>96455.984251542133</v>
      </c>
      <c r="S49" s="63">
        <f>'Local multi year dist'!AK49</f>
        <v>67530.488615040347</v>
      </c>
      <c r="T49" s="63"/>
      <c r="U49" s="63">
        <f>'Local multi year dist'!AM49</f>
        <v>0</v>
      </c>
      <c r="V49" s="63">
        <f>'Local multi year dist'!AN49</f>
        <v>118951.05799968475</v>
      </c>
      <c r="W49" s="63">
        <f>'Local multi year dist'!AO49</f>
        <v>137691.96920953397</v>
      </c>
      <c r="X49" s="63">
        <f>'Local multi year dist'!AP49</f>
        <v>53619.205671018746</v>
      </c>
      <c r="Y49" s="63">
        <f>'Local multi year dist'!AQ49</f>
        <v>58828.732515076961</v>
      </c>
      <c r="Z49" s="63">
        <f>'Local multi year dist'!AR49</f>
        <v>62673.31685464266</v>
      </c>
      <c r="AA49" s="63">
        <f>'Local multi year dist'!AS49</f>
        <v>47170.154429983937</v>
      </c>
      <c r="AB49" s="63">
        <f>'Local multi year dist'!AT49</f>
        <v>67084.341720842698</v>
      </c>
      <c r="AC49" s="63">
        <f>'Local multi year dist'!AU49</f>
        <v>67486.969165701274</v>
      </c>
      <c r="AD49" s="63">
        <f>'Local multi year dist'!AV49</f>
        <v>62764.180417470387</v>
      </c>
      <c r="AE49" s="63">
        <f>'Local multi year dist'!AW49</f>
        <v>58058.560012643546</v>
      </c>
      <c r="AF49" s="63">
        <f>'Local multi year dist'!AX49</f>
        <v>53163.731693108442</v>
      </c>
      <c r="AG49" s="63">
        <f>'Local multi year dist'!AY49</f>
        <v>41506.632461776135</v>
      </c>
      <c r="AH49" s="63">
        <f>'Local multi year dist'!AZ49</f>
        <v>41506.632461776135</v>
      </c>
      <c r="AI49" s="63">
        <f>'Local multi year dist'!BA49</f>
        <v>41506.632461776135</v>
      </c>
      <c r="AJ49" s="63">
        <f>'Local multi year dist'!BB49</f>
        <v>34306.59271889372</v>
      </c>
      <c r="AK49" s="63">
        <f>'Local multi year dist'!BC49</f>
        <v>34306.59271889372</v>
      </c>
      <c r="AL49" s="63">
        <f>'Local multi year dist'!BD49</f>
        <v>24761.179158848128</v>
      </c>
      <c r="AN49" s="63">
        <f>'Local multi year dist'!BF49</f>
        <v>0</v>
      </c>
      <c r="AO49" s="63">
        <f>'Local multi year dist'!BG49</f>
        <v>29737.764499921188</v>
      </c>
      <c r="AP49" s="63">
        <f>'Local multi year dist'!BH49</f>
        <v>34422.992302383493</v>
      </c>
      <c r="AQ49" s="63">
        <f>'Local multi year dist'!BI49</f>
        <v>13404.801417754687</v>
      </c>
      <c r="AR49" s="63">
        <f>'Local multi year dist'!BJ49</f>
        <v>14707.18312876924</v>
      </c>
      <c r="AS49" s="63">
        <f>'Local multi year dist'!BK49</f>
        <v>15668.329213660665</v>
      </c>
      <c r="AT49" s="63">
        <f>'Local multi year dist'!BL49</f>
        <v>11792.538607495984</v>
      </c>
      <c r="AU49" s="63">
        <f>'Local multi year dist'!BM49</f>
        <v>16771.085430210675</v>
      </c>
      <c r="AV49" s="63">
        <f>'Local multi year dist'!BN49</f>
        <v>16871.742291425318</v>
      </c>
      <c r="AW49" s="63">
        <f>'Local multi year dist'!BO49</f>
        <v>15691.045104367597</v>
      </c>
      <c r="AX49" s="63">
        <f>'Local multi year dist'!BP49</f>
        <v>14514.640003160886</v>
      </c>
      <c r="AY49" s="63">
        <f>'Local multi year dist'!BQ49</f>
        <v>13290.932923277111</v>
      </c>
      <c r="AZ49" s="63">
        <f>'Local multi year dist'!BR49</f>
        <v>10376.658115444034</v>
      </c>
      <c r="BA49" s="63">
        <f>'Local multi year dist'!BS49</f>
        <v>10376.658115444034</v>
      </c>
      <c r="BB49" s="63">
        <f>'Local multi year dist'!BT49</f>
        <v>10376.658115444034</v>
      </c>
      <c r="BC49" s="63">
        <f>'Local multi year dist'!BU49</f>
        <v>8576.6481797234301</v>
      </c>
      <c r="BD49" s="63">
        <f>'Local multi year dist'!BV49</f>
        <v>8576.6481797234301</v>
      </c>
      <c r="BE49" s="63">
        <f>'Local multi year dist'!BW49</f>
        <v>6190.2947897120321</v>
      </c>
      <c r="BF49" s="63"/>
      <c r="BG49" s="63"/>
      <c r="BH49" s="63"/>
      <c r="BI49" s="63"/>
      <c r="BJ49" s="63"/>
      <c r="BK49" s="63"/>
      <c r="BL49" s="63"/>
      <c r="BM49" s="63"/>
      <c r="BN49" s="63"/>
      <c r="BO49" s="63"/>
      <c r="BP49" s="63"/>
      <c r="BQ49" s="63"/>
    </row>
    <row r="50" spans="1:69" x14ac:dyDescent="0.25">
      <c r="A50" t="str">
        <f>'Local multi year dist'!S50</f>
        <v>Fredericksburg City</v>
      </c>
      <c r="B50" s="63">
        <f>'Local multi year dist'!T50</f>
        <v>21307.673203797407</v>
      </c>
      <c r="C50" s="63">
        <f>'Local multi year dist'!U50</f>
        <v>134889.18810002189</v>
      </c>
      <c r="D50" s="63">
        <f>'Local multi year dist'!V50</f>
        <v>166352.88435035816</v>
      </c>
      <c r="E50" s="63">
        <f>'Local multi year dist'!W50</f>
        <v>63795.962876163183</v>
      </c>
      <c r="F50" s="63">
        <f>'Local multi year dist'!X50</f>
        <v>68552.884835506673</v>
      </c>
      <c r="G50" s="63">
        <f>'Local multi year dist'!Y50</f>
        <v>72855.359799411628</v>
      </c>
      <c r="H50" s="63">
        <f>'Local multi year dist'!Z50</f>
        <v>55505.768191549803</v>
      </c>
      <c r="I50" s="63">
        <f>'Local multi year dist'!AA50</f>
        <v>77791.738449419776</v>
      </c>
      <c r="J50" s="63">
        <f>'Local multi year dist'!AB50</f>
        <v>78145.685842104271</v>
      </c>
      <c r="K50" s="63">
        <f>'Local multi year dist'!AC50</f>
        <v>73167.252402325146</v>
      </c>
      <c r="L50" s="63">
        <f>'Local multi year dist'!AD50</f>
        <v>67899.658223998616</v>
      </c>
      <c r="M50" s="63">
        <f>'Local multi year dist'!AE50</f>
        <v>62421.85505014714</v>
      </c>
      <c r="N50" s="63">
        <f>'Local multi year dist'!AF50</f>
        <v>47636.99850387987</v>
      </c>
      <c r="O50" s="63">
        <f>'Local multi year dist'!AG50</f>
        <v>47636.99850387987</v>
      </c>
      <c r="P50" s="63">
        <f>'Local multi year dist'!AH50</f>
        <v>47636.99850387987</v>
      </c>
      <c r="Q50" s="63">
        <f>'Local multi year dist'!AI50</f>
        <v>39579.432848714234</v>
      </c>
      <c r="R50" s="63">
        <f>'Local multi year dist'!AJ50</f>
        <v>39579.432848714234</v>
      </c>
      <c r="S50" s="63">
        <f>'Local multi year dist'!AK50</f>
        <v>27710.239650964089</v>
      </c>
      <c r="T50" s="63"/>
      <c r="U50" s="63">
        <f>'Local multi year dist'!AM50</f>
        <v>0</v>
      </c>
      <c r="V50" s="63">
        <f>'Local multi year dist'!AN50</f>
        <v>48809.987777474402</v>
      </c>
      <c r="W50" s="63">
        <f>'Local multi year dist'!AO50</f>
        <v>56500.071938759444</v>
      </c>
      <c r="X50" s="63">
        <f>'Local multi year dist'!AP50</f>
        <v>22001.92934347206</v>
      </c>
      <c r="Y50" s="63">
        <f>'Local multi year dist'!AQ50</f>
        <v>24139.589536335418</v>
      </c>
      <c r="Z50" s="63">
        <f>'Local multi year dist'!AR50</f>
        <v>25717.163689767232</v>
      </c>
      <c r="AA50" s="63">
        <f>'Local multi year dist'!AS50</f>
        <v>19355.646766884562</v>
      </c>
      <c r="AB50" s="63">
        <f>'Local multi year dist'!AT50</f>
        <v>27527.16919477022</v>
      </c>
      <c r="AC50" s="63">
        <f>'Local multi year dist'!AU50</f>
        <v>27692.382022574369</v>
      </c>
      <c r="AD50" s="63">
        <f>'Local multi year dist'!AV50</f>
        <v>25754.448346714551</v>
      </c>
      <c r="AE50" s="63">
        <f>'Local multi year dist'!AW50</f>
        <v>23823.559472690067</v>
      </c>
      <c r="AF50" s="63">
        <f>'Local multi year dist'!AX50</f>
        <v>21815.031642277856</v>
      </c>
      <c r="AG50" s="63">
        <f>'Local multi year dist'!AY50</f>
        <v>17031.695700838445</v>
      </c>
      <c r="AH50" s="63">
        <f>'Local multi year dist'!AZ50</f>
        <v>17031.695700838445</v>
      </c>
      <c r="AI50" s="63">
        <f>'Local multi year dist'!BA50</f>
        <v>17031.695700838445</v>
      </c>
      <c r="AJ50" s="63">
        <f>'Local multi year dist'!BB50</f>
        <v>14077.254960611048</v>
      </c>
      <c r="AK50" s="63">
        <f>'Local multi year dist'!BC50</f>
        <v>14077.254960611048</v>
      </c>
      <c r="AL50" s="63">
        <f>'Local multi year dist'!BD50</f>
        <v>10160.421205353499</v>
      </c>
      <c r="AN50" s="63">
        <f>'Local multi year dist'!BF50</f>
        <v>0</v>
      </c>
      <c r="AO50" s="63">
        <f>'Local multi year dist'!BG50</f>
        <v>12202.4969443686</v>
      </c>
      <c r="AP50" s="63">
        <f>'Local multi year dist'!BH50</f>
        <v>14125.017984689861</v>
      </c>
      <c r="AQ50" s="63">
        <f>'Local multi year dist'!BI50</f>
        <v>5500.4823358680151</v>
      </c>
      <c r="AR50" s="63">
        <f>'Local multi year dist'!BJ50</f>
        <v>6034.8973840838544</v>
      </c>
      <c r="AS50" s="63">
        <f>'Local multi year dist'!BK50</f>
        <v>6429.2909224418081</v>
      </c>
      <c r="AT50" s="63">
        <f>'Local multi year dist'!BL50</f>
        <v>4838.9116917211404</v>
      </c>
      <c r="AU50" s="63">
        <f>'Local multi year dist'!BM50</f>
        <v>6881.7922986925551</v>
      </c>
      <c r="AV50" s="63">
        <f>'Local multi year dist'!BN50</f>
        <v>6923.0955056435923</v>
      </c>
      <c r="AW50" s="63">
        <f>'Local multi year dist'!BO50</f>
        <v>6438.6120866786378</v>
      </c>
      <c r="AX50" s="63">
        <f>'Local multi year dist'!BP50</f>
        <v>5955.8898681725168</v>
      </c>
      <c r="AY50" s="63">
        <f>'Local multi year dist'!BQ50</f>
        <v>5453.757910569464</v>
      </c>
      <c r="AZ50" s="63">
        <f>'Local multi year dist'!BR50</f>
        <v>4257.9239252096113</v>
      </c>
      <c r="BA50" s="63">
        <f>'Local multi year dist'!BS50</f>
        <v>4257.9239252096113</v>
      </c>
      <c r="BB50" s="63">
        <f>'Local multi year dist'!BT50</f>
        <v>4257.9239252096113</v>
      </c>
      <c r="BC50" s="63">
        <f>'Local multi year dist'!BU50</f>
        <v>3519.313740152762</v>
      </c>
      <c r="BD50" s="63">
        <f>'Local multi year dist'!BV50</f>
        <v>3519.313740152762</v>
      </c>
      <c r="BE50" s="63">
        <f>'Local multi year dist'!BW50</f>
        <v>2540.1053013383748</v>
      </c>
      <c r="BF50" s="63"/>
      <c r="BG50" s="63"/>
      <c r="BH50" s="63"/>
      <c r="BI50" s="63"/>
      <c r="BJ50" s="63"/>
      <c r="BK50" s="63"/>
      <c r="BL50" s="63"/>
      <c r="BM50" s="63"/>
      <c r="BN50" s="63"/>
      <c r="BO50" s="63"/>
      <c r="BP50" s="63"/>
      <c r="BQ50" s="63"/>
    </row>
    <row r="51" spans="1:69" x14ac:dyDescent="0.25">
      <c r="A51" t="str">
        <f>'Local multi year dist'!S51</f>
        <v>Galax City</v>
      </c>
      <c r="B51" s="63">
        <f>'Local multi year dist'!T51</f>
        <v>5652.2262887935876</v>
      </c>
      <c r="C51" s="63">
        <f>'Local multi year dist'!U51</f>
        <v>35781.673942563059</v>
      </c>
      <c r="D51" s="63">
        <f>'Local multi year dist'!V51</f>
        <v>44127.959779961428</v>
      </c>
      <c r="E51" s="63">
        <f>'Local multi year dist'!W51</f>
        <v>16922.97488508909</v>
      </c>
      <c r="F51" s="63">
        <f>'Local multi year dist'!X51</f>
        <v>18184.830137663033</v>
      </c>
      <c r="G51" s="63">
        <f>'Local multi year dist'!Y51</f>
        <v>19326.135519309573</v>
      </c>
      <c r="H51" s="63">
        <f>'Local multi year dist'!Z51</f>
        <v>14723.858356155388</v>
      </c>
      <c r="I51" s="63">
        <f>'Local multi year dist'!AA51</f>
        <v>20635.594741353721</v>
      </c>
      <c r="J51" s="63">
        <f>'Local multi year dist'!AB51</f>
        <v>20729.485366512392</v>
      </c>
      <c r="K51" s="63">
        <f>'Local multi year dist'!AC51</f>
        <v>19408.870389166408</v>
      </c>
      <c r="L51" s="63">
        <f>'Local multi year dist'!AD51</f>
        <v>18011.550559419484</v>
      </c>
      <c r="M51" s="63">
        <f>'Local multi year dist'!AE51</f>
        <v>16558.469183149718</v>
      </c>
      <c r="N51" s="63">
        <f>'Local multi year dist'!AF51</f>
        <v>12636.532045876531</v>
      </c>
      <c r="O51" s="63">
        <f>'Local multi year dist'!AG51</f>
        <v>12636.532045876531</v>
      </c>
      <c r="P51" s="63">
        <f>'Local multi year dist'!AH51</f>
        <v>12636.532045876531</v>
      </c>
      <c r="Q51" s="63">
        <f>'Local multi year dist'!AI51</f>
        <v>10499.12436254061</v>
      </c>
      <c r="R51" s="63">
        <f>'Local multi year dist'!AJ51</f>
        <v>10499.12436254061</v>
      </c>
      <c r="S51" s="63">
        <f>'Local multi year dist'!AK51</f>
        <v>7350.6170066488721</v>
      </c>
      <c r="T51" s="63"/>
      <c r="U51" s="63">
        <f>'Local multi year dist'!AM51</f>
        <v>0</v>
      </c>
      <c r="V51" s="63">
        <f>'Local multi year dist'!AN51</f>
        <v>12947.687597459813</v>
      </c>
      <c r="W51" s="63">
        <f>'Local multi year dist'!AO51</f>
        <v>14987.61450283886</v>
      </c>
      <c r="X51" s="63">
        <f>'Local multi year dist'!AP51</f>
        <v>5836.3896540889637</v>
      </c>
      <c r="Y51" s="63">
        <f>'Local multi year dist'!AQ51</f>
        <v>6403.4407357836326</v>
      </c>
      <c r="Z51" s="63">
        <f>'Local multi year dist'!AR51</f>
        <v>6821.9193757206976</v>
      </c>
      <c r="AA51" s="63">
        <f>'Local multi year dist'!AS51</f>
        <v>5134.417749230829</v>
      </c>
      <c r="AB51" s="63">
        <f>'Local multi year dist'!AT51</f>
        <v>7302.0544238035518</v>
      </c>
      <c r="AC51" s="63">
        <f>'Local multi year dist'!AU51</f>
        <v>7345.8799640035068</v>
      </c>
      <c r="AD51" s="63">
        <f>'Local multi year dist'!AV51</f>
        <v>6831.8097713613033</v>
      </c>
      <c r="AE51" s="63">
        <f>'Local multi year dist'!AW51</f>
        <v>6319.608333404427</v>
      </c>
      <c r="AF51" s="63">
        <f>'Local multi year dist'!AX51</f>
        <v>5786.81182877218</v>
      </c>
      <c r="AG51" s="63">
        <f>'Local multi year dist'!AY51</f>
        <v>4517.9498137720311</v>
      </c>
      <c r="AH51" s="63">
        <f>'Local multi year dist'!AZ51</f>
        <v>4517.9498137720311</v>
      </c>
      <c r="AI51" s="63">
        <f>'Local multi year dist'!BA51</f>
        <v>4517.9498137720311</v>
      </c>
      <c r="AJ51" s="63">
        <f>'Local multi year dist'!BB51</f>
        <v>3734.2336632155266</v>
      </c>
      <c r="AK51" s="63">
        <f>'Local multi year dist'!BC51</f>
        <v>3734.2336632155266</v>
      </c>
      <c r="AL51" s="63">
        <f>'Local multi year dist'!BD51</f>
        <v>2695.226235771253</v>
      </c>
      <c r="AN51" s="63">
        <f>'Local multi year dist'!BF51</f>
        <v>0</v>
      </c>
      <c r="AO51" s="63">
        <f>'Local multi year dist'!BG51</f>
        <v>3236.9218993649533</v>
      </c>
      <c r="AP51" s="63">
        <f>'Local multi year dist'!BH51</f>
        <v>3746.903625709715</v>
      </c>
      <c r="AQ51" s="63">
        <f>'Local multi year dist'!BI51</f>
        <v>1459.0974135222409</v>
      </c>
      <c r="AR51" s="63">
        <f>'Local multi year dist'!BJ51</f>
        <v>1600.8601839459081</v>
      </c>
      <c r="AS51" s="63">
        <f>'Local multi year dist'!BK51</f>
        <v>1705.4798439301744</v>
      </c>
      <c r="AT51" s="63">
        <f>'Local multi year dist'!BL51</f>
        <v>1283.6044373077073</v>
      </c>
      <c r="AU51" s="63">
        <f>'Local multi year dist'!BM51</f>
        <v>1825.5136059508879</v>
      </c>
      <c r="AV51" s="63">
        <f>'Local multi year dist'!BN51</f>
        <v>1836.4699910008767</v>
      </c>
      <c r="AW51" s="63">
        <f>'Local multi year dist'!BO51</f>
        <v>1707.9524428403258</v>
      </c>
      <c r="AX51" s="63">
        <f>'Local multi year dist'!BP51</f>
        <v>1579.9020833511067</v>
      </c>
      <c r="AY51" s="63">
        <f>'Local multi year dist'!BQ51</f>
        <v>1446.702957193045</v>
      </c>
      <c r="AZ51" s="63">
        <f>'Local multi year dist'!BR51</f>
        <v>1129.4874534430078</v>
      </c>
      <c r="BA51" s="63">
        <f>'Local multi year dist'!BS51</f>
        <v>1129.4874534430078</v>
      </c>
      <c r="BB51" s="63">
        <f>'Local multi year dist'!BT51</f>
        <v>1129.4874534430078</v>
      </c>
      <c r="BC51" s="63">
        <f>'Local multi year dist'!BU51</f>
        <v>933.55841580388164</v>
      </c>
      <c r="BD51" s="63">
        <f>'Local multi year dist'!BV51</f>
        <v>933.55841580388164</v>
      </c>
      <c r="BE51" s="63">
        <f>'Local multi year dist'!BW51</f>
        <v>673.80655894281324</v>
      </c>
      <c r="BF51" s="63"/>
      <c r="BG51" s="63"/>
      <c r="BH51" s="63"/>
      <c r="BI51" s="63"/>
      <c r="BJ51" s="63"/>
      <c r="BK51" s="63"/>
      <c r="BL51" s="63"/>
      <c r="BM51" s="63"/>
      <c r="BN51" s="63"/>
      <c r="BO51" s="63"/>
      <c r="BP51" s="63"/>
      <c r="BQ51" s="63"/>
    </row>
    <row r="52" spans="1:69" x14ac:dyDescent="0.25">
      <c r="A52" t="str">
        <f>'Local multi year dist'!S52</f>
        <v>Giles County</v>
      </c>
      <c r="B52" s="63">
        <f>'Local multi year dist'!T52</f>
        <v>16631.370878536527</v>
      </c>
      <c r="C52" s="63">
        <f>'Local multi year dist'!U52</f>
        <v>105285.64491013158</v>
      </c>
      <c r="D52" s="63">
        <f>'Local multi year dist'!V52</f>
        <v>129844.14064751238</v>
      </c>
      <c r="E52" s="63">
        <f>'Local multi year dist'!W52</f>
        <v>49794.94048921897</v>
      </c>
      <c r="F52" s="63">
        <f>'Local multi year dist'!X52</f>
        <v>53507.881484202728</v>
      </c>
      <c r="G52" s="63">
        <f>'Local multi year dist'!Y52</f>
        <v>56866.11098847205</v>
      </c>
      <c r="H52" s="63">
        <f>'Local multi year dist'!Z52</f>
        <v>43324.158760198225</v>
      </c>
      <c r="I52" s="63">
        <f>'Local multi year dist'!AA52</f>
        <v>60719.124095062383</v>
      </c>
      <c r="J52" s="63">
        <f>'Local multi year dist'!AB52</f>
        <v>60995.392193550848</v>
      </c>
      <c r="K52" s="63">
        <f>'Local multi year dist'!AC52</f>
        <v>57109.553878914099</v>
      </c>
      <c r="L52" s="63">
        <f>'Local multi year dist'!AD52</f>
        <v>52998.015674838614</v>
      </c>
      <c r="M52" s="63">
        <f>'Local multi year dist'!AE52</f>
        <v>48722.40212883622</v>
      </c>
      <c r="N52" s="63">
        <f>'Local multi year dist'!AF52</f>
        <v>37182.313717723024</v>
      </c>
      <c r="O52" s="63">
        <f>'Local multi year dist'!AG52</f>
        <v>37182.313717723024</v>
      </c>
      <c r="P52" s="63">
        <f>'Local multi year dist'!AH52</f>
        <v>37182.313717723024</v>
      </c>
      <c r="Q52" s="63">
        <f>'Local multi year dist'!AI52</f>
        <v>30893.106937259774</v>
      </c>
      <c r="R52" s="63">
        <f>'Local multi year dist'!AJ52</f>
        <v>30893.106937259774</v>
      </c>
      <c r="S52" s="63">
        <f>'Local multi year dist'!AK52</f>
        <v>21628.793926038765</v>
      </c>
      <c r="T52" s="63"/>
      <c r="U52" s="63">
        <f>'Local multi year dist'!AM52</f>
        <v>0</v>
      </c>
      <c r="V52" s="63">
        <f>'Local multi year dist'!AN52</f>
        <v>38097.872139288222</v>
      </c>
      <c r="W52" s="63">
        <f>'Local multi year dist'!AO52</f>
        <v>44100.246990367574</v>
      </c>
      <c r="X52" s="63">
        <f>'Local multi year dist'!AP52</f>
        <v>17173.261644045939</v>
      </c>
      <c r="Y52" s="63">
        <f>'Local multi year dist'!AQ52</f>
        <v>18841.778855651115</v>
      </c>
      <c r="Z52" s="63">
        <f>'Local multi year dist'!AR52</f>
        <v>20073.129673883202</v>
      </c>
      <c r="AA52" s="63">
        <f>'Local multi year dist'!AS52</f>
        <v>15107.747190182796</v>
      </c>
      <c r="AB52" s="63">
        <f>'Local multi year dist'!AT52</f>
        <v>21485.901146299657</v>
      </c>
      <c r="AC52" s="63">
        <f>'Local multi year dist'!AU52</f>
        <v>21614.855433650606</v>
      </c>
      <c r="AD52" s="63">
        <f>'Local multi year dist'!AV52</f>
        <v>20102.231629401242</v>
      </c>
      <c r="AE52" s="63">
        <f>'Local multi year dist'!AW52</f>
        <v>18595.106534981369</v>
      </c>
      <c r="AF52" s="63">
        <f>'Local multi year dist'!AX52</f>
        <v>17027.381568113822</v>
      </c>
      <c r="AG52" s="63">
        <f>'Local multi year dist'!AY52</f>
        <v>13293.823552753673</v>
      </c>
      <c r="AH52" s="63">
        <f>'Local multi year dist'!AZ52</f>
        <v>13293.823552753673</v>
      </c>
      <c r="AI52" s="63">
        <f>'Local multi year dist'!BA52</f>
        <v>13293.823552753673</v>
      </c>
      <c r="AJ52" s="63">
        <f>'Local multi year dist'!BB52</f>
        <v>10987.781066583813</v>
      </c>
      <c r="AK52" s="63">
        <f>'Local multi year dist'!BC52</f>
        <v>10987.781066583813</v>
      </c>
      <c r="AL52" s="63">
        <f>'Local multi year dist'!BD52</f>
        <v>7930.5577728808794</v>
      </c>
      <c r="AN52" s="63">
        <f>'Local multi year dist'!BF52</f>
        <v>0</v>
      </c>
      <c r="AO52" s="63">
        <f>'Local multi year dist'!BG52</f>
        <v>9524.4680348220554</v>
      </c>
      <c r="AP52" s="63">
        <f>'Local multi year dist'!BH52</f>
        <v>11025.061747591893</v>
      </c>
      <c r="AQ52" s="63">
        <f>'Local multi year dist'!BI52</f>
        <v>4293.3154110114847</v>
      </c>
      <c r="AR52" s="63">
        <f>'Local multi year dist'!BJ52</f>
        <v>4710.4447139127788</v>
      </c>
      <c r="AS52" s="63">
        <f>'Local multi year dist'!BK52</f>
        <v>5018.2824184708006</v>
      </c>
      <c r="AT52" s="63">
        <f>'Local multi year dist'!BL52</f>
        <v>3776.9367975456989</v>
      </c>
      <c r="AU52" s="63">
        <f>'Local multi year dist'!BM52</f>
        <v>5371.4752865749142</v>
      </c>
      <c r="AV52" s="63">
        <f>'Local multi year dist'!BN52</f>
        <v>5403.7138584126515</v>
      </c>
      <c r="AW52" s="63">
        <f>'Local multi year dist'!BO52</f>
        <v>5025.5579073503104</v>
      </c>
      <c r="AX52" s="63">
        <f>'Local multi year dist'!BP52</f>
        <v>4648.7766337453422</v>
      </c>
      <c r="AY52" s="63">
        <f>'Local multi year dist'!BQ52</f>
        <v>4256.8453920284555</v>
      </c>
      <c r="AZ52" s="63">
        <f>'Local multi year dist'!BR52</f>
        <v>3323.4558881884182</v>
      </c>
      <c r="BA52" s="63">
        <f>'Local multi year dist'!BS52</f>
        <v>3323.4558881884182</v>
      </c>
      <c r="BB52" s="63">
        <f>'Local multi year dist'!BT52</f>
        <v>3323.4558881884182</v>
      </c>
      <c r="BC52" s="63">
        <f>'Local multi year dist'!BU52</f>
        <v>2746.9452666459533</v>
      </c>
      <c r="BD52" s="63">
        <f>'Local multi year dist'!BV52</f>
        <v>2746.9452666459533</v>
      </c>
      <c r="BE52" s="63">
        <f>'Local multi year dist'!BW52</f>
        <v>1982.6394432202198</v>
      </c>
      <c r="BF52" s="63"/>
      <c r="BG52" s="63"/>
      <c r="BH52" s="63"/>
      <c r="BI52" s="63"/>
      <c r="BJ52" s="63"/>
      <c r="BK52" s="63"/>
      <c r="BL52" s="63"/>
      <c r="BM52" s="63"/>
      <c r="BN52" s="63"/>
      <c r="BO52" s="63"/>
      <c r="BP52" s="63"/>
      <c r="BQ52" s="63"/>
    </row>
    <row r="53" spans="1:69" x14ac:dyDescent="0.25">
      <c r="A53" t="str">
        <f>'Local multi year dist'!S53</f>
        <v>Gloucester County</v>
      </c>
      <c r="B53" s="63">
        <f>'Local multi year dist'!T53</f>
        <v>17241.323355744469</v>
      </c>
      <c r="C53" s="63">
        <f>'Local multi year dist'!U53</f>
        <v>109146.97663055206</v>
      </c>
      <c r="D53" s="63">
        <f>'Local multi year dist'!V53</f>
        <v>134606.15069570966</v>
      </c>
      <c r="E53" s="63">
        <f>'Local multi year dist'!W53</f>
        <v>51621.160800559526</v>
      </c>
      <c r="F53" s="63">
        <f>'Local multi year dist'!X53</f>
        <v>55470.273225677156</v>
      </c>
      <c r="G53" s="63">
        <f>'Local multi year dist'!Y53</f>
        <v>58951.665181203301</v>
      </c>
      <c r="H53" s="63">
        <f>'Local multi year dist'!Z53</f>
        <v>44913.064338200609</v>
      </c>
      <c r="I53" s="63">
        <f>'Local multi year dist'!AA53</f>
        <v>62945.986836935095</v>
      </c>
      <c r="J53" s="63">
        <f>'Local multi year dist'!AB53</f>
        <v>63232.387017275207</v>
      </c>
      <c r="K53" s="63">
        <f>'Local multi year dist'!AC53</f>
        <v>59204.036295011196</v>
      </c>
      <c r="L53" s="63">
        <f>'Local multi year dist'!AD53</f>
        <v>54941.708181250797</v>
      </c>
      <c r="M53" s="63">
        <f>'Local multi year dist'!AE53</f>
        <v>50509.287292485467</v>
      </c>
      <c r="N53" s="63">
        <f>'Local multi year dist'!AF53</f>
        <v>38545.968255047832</v>
      </c>
      <c r="O53" s="63">
        <f>'Local multi year dist'!AG53</f>
        <v>38545.968255047832</v>
      </c>
      <c r="P53" s="63">
        <f>'Local multi year dist'!AH53</f>
        <v>38545.968255047832</v>
      </c>
      <c r="Q53" s="63">
        <f>'Local multi year dist'!AI53</f>
        <v>32026.105969188618</v>
      </c>
      <c r="R53" s="63">
        <f>'Local multi year dist'!AJ53</f>
        <v>32026.105969188618</v>
      </c>
      <c r="S53" s="63">
        <f>'Local multi year dist'!AK53</f>
        <v>22422.025977115984</v>
      </c>
      <c r="T53" s="63"/>
      <c r="U53" s="63">
        <f>'Local multi year dist'!AM53</f>
        <v>0</v>
      </c>
      <c r="V53" s="63">
        <f>'Local multi year dist'!AN53</f>
        <v>39495.10461383425</v>
      </c>
      <c r="W53" s="63">
        <f>'Local multi year dist'!AO53</f>
        <v>45717.615461896952</v>
      </c>
      <c r="X53" s="63">
        <f>'Local multi year dist'!AP53</f>
        <v>17803.087865710218</v>
      </c>
      <c r="Y53" s="63">
        <f>'Local multi year dist'!AQ53</f>
        <v>19532.7976400882</v>
      </c>
      <c r="Z53" s="63">
        <f>'Local multi year dist'!AR53</f>
        <v>20809.308023781119</v>
      </c>
      <c r="AA53" s="63">
        <f>'Local multi year dist'!AS53</f>
        <v>15661.821048013462</v>
      </c>
      <c r="AB53" s="63">
        <f>'Local multi year dist'!AT53</f>
        <v>22273.892630882776</v>
      </c>
      <c r="AC53" s="63">
        <f>'Local multi year dist'!AU53</f>
        <v>22407.576293075443</v>
      </c>
      <c r="AD53" s="63">
        <f>'Local multi year dist'!AV53</f>
        <v>20839.477288181239</v>
      </c>
      <c r="AE53" s="63">
        <f>'Local multi year dist'!AW53</f>
        <v>19277.0786572912</v>
      </c>
      <c r="AF53" s="63">
        <f>'Local multi year dist'!AX53</f>
        <v>17651.857664743915</v>
      </c>
      <c r="AG53" s="63">
        <f>'Local multi year dist'!AY53</f>
        <v>13781.372093808208</v>
      </c>
      <c r="AH53" s="63">
        <f>'Local multi year dist'!AZ53</f>
        <v>13781.372093808208</v>
      </c>
      <c r="AI53" s="63">
        <f>'Local multi year dist'!BA53</f>
        <v>13781.372093808208</v>
      </c>
      <c r="AJ53" s="63">
        <f>'Local multi year dist'!BB53</f>
        <v>11390.755922326498</v>
      </c>
      <c r="AK53" s="63">
        <f>'Local multi year dist'!BC53</f>
        <v>11390.755922326498</v>
      </c>
      <c r="AL53" s="63">
        <f>'Local multi year dist'!BD53</f>
        <v>8221.4095249425263</v>
      </c>
      <c r="AN53" s="63">
        <f>'Local multi year dist'!BF53</f>
        <v>0</v>
      </c>
      <c r="AO53" s="63">
        <f>'Local multi year dist'!BG53</f>
        <v>9873.7761534585625</v>
      </c>
      <c r="AP53" s="63">
        <f>'Local multi year dist'!BH53</f>
        <v>11429.403865474238</v>
      </c>
      <c r="AQ53" s="63">
        <f>'Local multi year dist'!BI53</f>
        <v>4450.7719664275546</v>
      </c>
      <c r="AR53" s="63">
        <f>'Local multi year dist'!BJ53</f>
        <v>4883.19941002205</v>
      </c>
      <c r="AS53" s="63">
        <f>'Local multi year dist'!BK53</f>
        <v>5202.3270059452798</v>
      </c>
      <c r="AT53" s="63">
        <f>'Local multi year dist'!BL53</f>
        <v>3915.4552620033655</v>
      </c>
      <c r="AU53" s="63">
        <f>'Local multi year dist'!BM53</f>
        <v>5568.473157720694</v>
      </c>
      <c r="AV53" s="63">
        <f>'Local multi year dist'!BN53</f>
        <v>5601.8940732688607</v>
      </c>
      <c r="AW53" s="63">
        <f>'Local multi year dist'!BO53</f>
        <v>5209.8693220453097</v>
      </c>
      <c r="AX53" s="63">
        <f>'Local multi year dist'!BP53</f>
        <v>4819.2696643228001</v>
      </c>
      <c r="AY53" s="63">
        <f>'Local multi year dist'!BQ53</f>
        <v>4412.9644161859787</v>
      </c>
      <c r="AZ53" s="63">
        <f>'Local multi year dist'!BR53</f>
        <v>3445.343023452052</v>
      </c>
      <c r="BA53" s="63">
        <f>'Local multi year dist'!BS53</f>
        <v>3445.343023452052</v>
      </c>
      <c r="BB53" s="63">
        <f>'Local multi year dist'!BT53</f>
        <v>3445.343023452052</v>
      </c>
      <c r="BC53" s="63">
        <f>'Local multi year dist'!BU53</f>
        <v>2847.6889805816245</v>
      </c>
      <c r="BD53" s="63">
        <f>'Local multi year dist'!BV53</f>
        <v>2847.6889805816245</v>
      </c>
      <c r="BE53" s="63">
        <f>'Local multi year dist'!BW53</f>
        <v>2055.3523812356316</v>
      </c>
      <c r="BF53" s="63"/>
      <c r="BG53" s="63"/>
      <c r="BH53" s="63"/>
      <c r="BI53" s="63"/>
      <c r="BJ53" s="63"/>
      <c r="BK53" s="63"/>
      <c r="BL53" s="63"/>
      <c r="BM53" s="63"/>
      <c r="BN53" s="63"/>
      <c r="BO53" s="63"/>
      <c r="BP53" s="63"/>
      <c r="BQ53" s="63"/>
    </row>
    <row r="54" spans="1:69" x14ac:dyDescent="0.25">
      <c r="A54" t="str">
        <f>'Local multi year dist'!S54</f>
        <v>Goochland County</v>
      </c>
      <c r="B54" s="63">
        <f>'Local multi year dist'!T54</f>
        <v>9149.2871581191157</v>
      </c>
      <c r="C54" s="63">
        <f>'Local multi year dist'!U54</f>
        <v>57919.975806307106</v>
      </c>
      <c r="D54" s="63">
        <f>'Local multi year dist'!V54</f>
        <v>71430.150722959137</v>
      </c>
      <c r="E54" s="63">
        <f>'Local multi year dist'!W54</f>
        <v>27393.304670108238</v>
      </c>
      <c r="F54" s="63">
        <f>'Local multi year dist'!X54</f>
        <v>29435.876122116417</v>
      </c>
      <c r="G54" s="63">
        <f>'Local multi year dist'!Y54</f>
        <v>31283.312890968733</v>
      </c>
      <c r="H54" s="63">
        <f>'Local multi year dist'!Z54</f>
        <v>23833.583670035699</v>
      </c>
      <c r="I54" s="63">
        <f>'Local multi year dist'!AA54</f>
        <v>33402.941128090555</v>
      </c>
      <c r="J54" s="63">
        <f>'Local multi year dist'!AB54</f>
        <v>33554.922355865383</v>
      </c>
      <c r="K54" s="63">
        <f>'Local multi year dist'!AC54</f>
        <v>31417.236241456412</v>
      </c>
      <c r="L54" s="63">
        <f>'Local multi year dist'!AD54</f>
        <v>29155.387596182612</v>
      </c>
      <c r="M54" s="63">
        <f>'Local multi year dist'!AE54</f>
        <v>26803.277454738753</v>
      </c>
      <c r="N54" s="63">
        <f>'Local multi year dist'!AF54</f>
        <v>20454.818059872079</v>
      </c>
      <c r="O54" s="63">
        <f>'Local multi year dist'!AG54</f>
        <v>20454.818059872079</v>
      </c>
      <c r="P54" s="63">
        <f>'Local multi year dist'!AH54</f>
        <v>20454.818059872079</v>
      </c>
      <c r="Q54" s="63">
        <f>'Local multi year dist'!AI54</f>
        <v>16994.985478932638</v>
      </c>
      <c r="R54" s="63">
        <f>'Local multi year dist'!AJ54</f>
        <v>16994.985478932638</v>
      </c>
      <c r="S54" s="63">
        <f>'Local multi year dist'!AK54</f>
        <v>11898.480766158245</v>
      </c>
      <c r="T54" s="63"/>
      <c r="U54" s="63">
        <f>'Local multi year dist'!AM54</f>
        <v>0</v>
      </c>
      <c r="V54" s="63">
        <f>'Local multi year dist'!AN54</f>
        <v>20958.487118190344</v>
      </c>
      <c r="W54" s="63">
        <f>'Local multi year dist'!AO54</f>
        <v>24260.5270729406</v>
      </c>
      <c r="X54" s="63">
        <f>'Local multi year dist'!AP54</f>
        <v>9447.3933249641486</v>
      </c>
      <c r="Y54" s="63">
        <f>'Local multi year dist'!AQ54</f>
        <v>10365.281766556238</v>
      </c>
      <c r="Z54" s="63">
        <f>'Local multi year dist'!AR54</f>
        <v>11042.675248468753</v>
      </c>
      <c r="AA54" s="63">
        <f>'Local multi year dist'!AS54</f>
        <v>8311.1078674599739</v>
      </c>
      <c r="AB54" s="63">
        <f>'Local multi year dist'!AT54</f>
        <v>11819.872268746756</v>
      </c>
      <c r="AC54" s="63">
        <f>'Local multi year dist'!AU54</f>
        <v>11890.812891372581</v>
      </c>
      <c r="AD54" s="63">
        <f>'Local multi year dist'!AV54</f>
        <v>11058.68488169995</v>
      </c>
      <c r="AE54" s="63">
        <f>'Local multi year dist'!AW54</f>
        <v>10229.581834647453</v>
      </c>
      <c r="AF54" s="63">
        <f>'Local multi year dist'!AX54</f>
        <v>9367.1414494513701</v>
      </c>
      <c r="AG54" s="63">
        <f>'Local multi year dist'!AY54</f>
        <v>7313.2281158180349</v>
      </c>
      <c r="AH54" s="63">
        <f>'Local multi year dist'!AZ54</f>
        <v>7313.2281158180349</v>
      </c>
      <c r="AI54" s="63">
        <f>'Local multi year dist'!BA54</f>
        <v>7313.2281158180349</v>
      </c>
      <c r="AJ54" s="63">
        <f>'Local multi year dist'!BB54</f>
        <v>6044.62283614024</v>
      </c>
      <c r="AK54" s="63">
        <f>'Local multi year dist'!BC54</f>
        <v>6044.62283614024</v>
      </c>
      <c r="AL54" s="63">
        <f>'Local multi year dist'!BD54</f>
        <v>4362.7762809246897</v>
      </c>
      <c r="AN54" s="63">
        <f>'Local multi year dist'!BF54</f>
        <v>0</v>
      </c>
      <c r="AO54" s="63">
        <f>'Local multi year dist'!BG54</f>
        <v>5239.6217795475859</v>
      </c>
      <c r="AP54" s="63">
        <f>'Local multi year dist'!BH54</f>
        <v>6065.13176823515</v>
      </c>
      <c r="AQ54" s="63">
        <f>'Local multi year dist'!BI54</f>
        <v>2361.8483312410372</v>
      </c>
      <c r="AR54" s="63">
        <f>'Local multi year dist'!BJ54</f>
        <v>2591.3204416390595</v>
      </c>
      <c r="AS54" s="63">
        <f>'Local multi year dist'!BK54</f>
        <v>2760.6688121171883</v>
      </c>
      <c r="AT54" s="63">
        <f>'Local multi year dist'!BL54</f>
        <v>2077.7769668649935</v>
      </c>
      <c r="AU54" s="63">
        <f>'Local multi year dist'!BM54</f>
        <v>2954.968067186689</v>
      </c>
      <c r="AV54" s="63">
        <f>'Local multi year dist'!BN54</f>
        <v>2972.7032228431453</v>
      </c>
      <c r="AW54" s="63">
        <f>'Local multi year dist'!BO54</f>
        <v>2764.6712204249875</v>
      </c>
      <c r="AX54" s="63">
        <f>'Local multi year dist'!BP54</f>
        <v>2557.3954586618634</v>
      </c>
      <c r="AY54" s="63">
        <f>'Local multi year dist'!BQ54</f>
        <v>2341.7853623628425</v>
      </c>
      <c r="AZ54" s="63">
        <f>'Local multi year dist'!BR54</f>
        <v>1828.3070289545087</v>
      </c>
      <c r="BA54" s="63">
        <f>'Local multi year dist'!BS54</f>
        <v>1828.3070289545087</v>
      </c>
      <c r="BB54" s="63">
        <f>'Local multi year dist'!BT54</f>
        <v>1828.3070289545087</v>
      </c>
      <c r="BC54" s="63">
        <f>'Local multi year dist'!BU54</f>
        <v>1511.15570903506</v>
      </c>
      <c r="BD54" s="63">
        <f>'Local multi year dist'!BV54</f>
        <v>1511.15570903506</v>
      </c>
      <c r="BE54" s="63">
        <f>'Local multi year dist'!BW54</f>
        <v>1090.6940702311724</v>
      </c>
      <c r="BF54" s="63"/>
      <c r="BG54" s="63"/>
      <c r="BH54" s="63"/>
      <c r="BI54" s="63"/>
      <c r="BJ54" s="63"/>
      <c r="BK54" s="63"/>
      <c r="BL54" s="63"/>
      <c r="BM54" s="63"/>
      <c r="BN54" s="63"/>
      <c r="BO54" s="63"/>
      <c r="BP54" s="63"/>
      <c r="BQ54" s="63"/>
    </row>
    <row r="55" spans="1:69" x14ac:dyDescent="0.25">
      <c r="A55" t="str">
        <f>'Local multi year dist'!S55</f>
        <v>Grayson County</v>
      </c>
      <c r="B55" s="63">
        <f>'Local multi year dist'!T55</f>
        <v>9108.6236596385879</v>
      </c>
      <c r="C55" s="63">
        <f>'Local multi year dist'!U55</f>
        <v>57662.553691612411</v>
      </c>
      <c r="D55" s="63">
        <f>'Local multi year dist'!V55</f>
        <v>71112.683386412653</v>
      </c>
      <c r="E55" s="63">
        <f>'Local multi year dist'!W55</f>
        <v>27271.556649352206</v>
      </c>
      <c r="F55" s="63">
        <f>'Local multi year dist'!X55</f>
        <v>29305.050006018126</v>
      </c>
      <c r="G55" s="63">
        <f>'Local multi year dist'!Y55</f>
        <v>31144.275944786652</v>
      </c>
      <c r="H55" s="63">
        <f>'Local multi year dist'!Z55</f>
        <v>23727.65663150221</v>
      </c>
      <c r="I55" s="63">
        <f>'Local multi year dist'!AA55</f>
        <v>33254.483611965712</v>
      </c>
      <c r="J55" s="63">
        <f>'Local multi year dist'!AB55</f>
        <v>33405.789367617093</v>
      </c>
      <c r="K55" s="63">
        <f>'Local multi year dist'!AC55</f>
        <v>31277.604080383277</v>
      </c>
      <c r="L55" s="63">
        <f>'Local multi year dist'!AD55</f>
        <v>29025.808095755139</v>
      </c>
      <c r="M55" s="63">
        <f>'Local multi year dist'!AE55</f>
        <v>26684.15177716214</v>
      </c>
      <c r="N55" s="63">
        <f>'Local multi year dist'!AF55</f>
        <v>20363.907757383764</v>
      </c>
      <c r="O55" s="63">
        <f>'Local multi year dist'!AG55</f>
        <v>20363.907757383764</v>
      </c>
      <c r="P55" s="63">
        <f>'Local multi year dist'!AH55</f>
        <v>20363.907757383764</v>
      </c>
      <c r="Q55" s="63">
        <f>'Local multi year dist'!AI55</f>
        <v>16919.452210137384</v>
      </c>
      <c r="R55" s="63">
        <f>'Local multi year dist'!AJ55</f>
        <v>16919.452210137384</v>
      </c>
      <c r="S55" s="63">
        <f>'Local multi year dist'!AK55</f>
        <v>11845.598629419765</v>
      </c>
      <c r="T55" s="63"/>
      <c r="U55" s="63">
        <f>'Local multi year dist'!AM55</f>
        <v>0</v>
      </c>
      <c r="V55" s="63">
        <f>'Local multi year dist'!AN55</f>
        <v>20865.338286553946</v>
      </c>
      <c r="W55" s="63">
        <f>'Local multi year dist'!AO55</f>
        <v>24152.702508171977</v>
      </c>
      <c r="X55" s="63">
        <f>'Local multi year dist'!AP55</f>
        <v>9405.4049101865312</v>
      </c>
      <c r="Y55" s="63">
        <f>'Local multi year dist'!AQ55</f>
        <v>10319.213847593766</v>
      </c>
      <c r="Z55" s="63">
        <f>'Local multi year dist'!AR55</f>
        <v>10993.596691808894</v>
      </c>
      <c r="AA55" s="63">
        <f>'Local multi year dist'!AS55</f>
        <v>8274.1696102712631</v>
      </c>
      <c r="AB55" s="63">
        <f>'Local multi year dist'!AT55</f>
        <v>11767.339503107884</v>
      </c>
      <c r="AC55" s="63">
        <f>'Local multi year dist'!AU55</f>
        <v>11837.964834077595</v>
      </c>
      <c r="AD55" s="63">
        <f>'Local multi year dist'!AV55</f>
        <v>11009.535171114618</v>
      </c>
      <c r="AE55" s="63">
        <f>'Local multi year dist'!AW55</f>
        <v>10184.117026493466</v>
      </c>
      <c r="AF55" s="63">
        <f>'Local multi year dist'!AX55</f>
        <v>9325.509709676031</v>
      </c>
      <c r="AG55" s="63">
        <f>'Local multi year dist'!AY55</f>
        <v>7280.7248797477341</v>
      </c>
      <c r="AH55" s="63">
        <f>'Local multi year dist'!AZ55</f>
        <v>7280.7248797477341</v>
      </c>
      <c r="AI55" s="63">
        <f>'Local multi year dist'!BA55</f>
        <v>7280.7248797477341</v>
      </c>
      <c r="AJ55" s="63">
        <f>'Local multi year dist'!BB55</f>
        <v>6017.7578457573954</v>
      </c>
      <c r="AK55" s="63">
        <f>'Local multi year dist'!BC55</f>
        <v>6017.7578457573954</v>
      </c>
      <c r="AL55" s="63">
        <f>'Local multi year dist'!BD55</f>
        <v>4343.3861641205804</v>
      </c>
      <c r="AN55" s="63">
        <f>'Local multi year dist'!BF55</f>
        <v>0</v>
      </c>
      <c r="AO55" s="63">
        <f>'Local multi year dist'!BG55</f>
        <v>5216.3345716384865</v>
      </c>
      <c r="AP55" s="63">
        <f>'Local multi year dist'!BH55</f>
        <v>6038.1756270429942</v>
      </c>
      <c r="AQ55" s="63">
        <f>'Local multi year dist'!BI55</f>
        <v>2351.3512275466328</v>
      </c>
      <c r="AR55" s="63">
        <f>'Local multi year dist'!BJ55</f>
        <v>2579.8034618984416</v>
      </c>
      <c r="AS55" s="63">
        <f>'Local multi year dist'!BK55</f>
        <v>2748.3991729522236</v>
      </c>
      <c r="AT55" s="63">
        <f>'Local multi year dist'!BL55</f>
        <v>2068.5424025678158</v>
      </c>
      <c r="AU55" s="63">
        <f>'Local multi year dist'!BM55</f>
        <v>2941.8348757769709</v>
      </c>
      <c r="AV55" s="63">
        <f>'Local multi year dist'!BN55</f>
        <v>2959.4912085193987</v>
      </c>
      <c r="AW55" s="63">
        <f>'Local multi year dist'!BO55</f>
        <v>2752.3837927786544</v>
      </c>
      <c r="AX55" s="63">
        <f>'Local multi year dist'!BP55</f>
        <v>2546.0292566233666</v>
      </c>
      <c r="AY55" s="63">
        <f>'Local multi year dist'!BQ55</f>
        <v>2331.3774274190077</v>
      </c>
      <c r="AZ55" s="63">
        <f>'Local multi year dist'!BR55</f>
        <v>1820.1812199369335</v>
      </c>
      <c r="BA55" s="63">
        <f>'Local multi year dist'!BS55</f>
        <v>1820.1812199369335</v>
      </c>
      <c r="BB55" s="63">
        <f>'Local multi year dist'!BT55</f>
        <v>1820.1812199369335</v>
      </c>
      <c r="BC55" s="63">
        <f>'Local multi year dist'!BU55</f>
        <v>1504.4394614393489</v>
      </c>
      <c r="BD55" s="63">
        <f>'Local multi year dist'!BV55</f>
        <v>1504.4394614393489</v>
      </c>
      <c r="BE55" s="63">
        <f>'Local multi year dist'!BW55</f>
        <v>1085.8465410301451</v>
      </c>
      <c r="BF55" s="63"/>
      <c r="BG55" s="63"/>
      <c r="BH55" s="63"/>
      <c r="BI55" s="63"/>
      <c r="BJ55" s="63"/>
      <c r="BK55" s="63"/>
      <c r="BL55" s="63"/>
      <c r="BM55" s="63"/>
      <c r="BN55" s="63"/>
      <c r="BO55" s="63"/>
      <c r="BP55" s="63"/>
      <c r="BQ55" s="63"/>
    </row>
    <row r="56" spans="1:69" x14ac:dyDescent="0.25">
      <c r="A56" t="str">
        <f>'Local multi year dist'!S56</f>
        <v>Greene County</v>
      </c>
      <c r="B56" s="63">
        <f>'Local multi year dist'!T56</f>
        <v>7238.1027295342346</v>
      </c>
      <c r="C56" s="63">
        <f>'Local multi year dist'!U56</f>
        <v>45821.136415656292</v>
      </c>
      <c r="D56" s="63">
        <f>'Local multi year dist'!V56</f>
        <v>56509.185905274346</v>
      </c>
      <c r="E56" s="63">
        <f>'Local multi year dist'!W56</f>
        <v>21671.14769457452</v>
      </c>
      <c r="F56" s="63">
        <f>'Local multi year dist'!X56</f>
        <v>23287.048665496546</v>
      </c>
      <c r="G56" s="63">
        <f>'Local multi year dist'!Y56</f>
        <v>24748.576420410824</v>
      </c>
      <c r="H56" s="63">
        <f>'Local multi year dist'!Z56</f>
        <v>18855.012858961578</v>
      </c>
      <c r="I56" s="63">
        <f>'Local multi year dist'!AA56</f>
        <v>26425.437870222755</v>
      </c>
      <c r="J56" s="63">
        <f>'Local multi year dist'!AB56</f>
        <v>26545.671908195727</v>
      </c>
      <c r="K56" s="63">
        <f>'Local multi year dist'!AC56</f>
        <v>24854.524671018851</v>
      </c>
      <c r="L56" s="63">
        <f>'Local multi year dist'!AD56</f>
        <v>23065.151076091137</v>
      </c>
      <c r="M56" s="63">
        <f>'Local multi year dist'!AE56</f>
        <v>21204.370608637772</v>
      </c>
      <c r="N56" s="63">
        <f>'Local multi year dist'!AF56</f>
        <v>16182.033842921026</v>
      </c>
      <c r="O56" s="63">
        <f>'Local multi year dist'!AG56</f>
        <v>16182.033842921026</v>
      </c>
      <c r="P56" s="63">
        <f>'Local multi year dist'!AH56</f>
        <v>16182.033842921026</v>
      </c>
      <c r="Q56" s="63">
        <f>'Local multi year dist'!AI56</f>
        <v>13444.9218455556</v>
      </c>
      <c r="R56" s="63">
        <f>'Local multi year dist'!AJ56</f>
        <v>13444.9218455556</v>
      </c>
      <c r="S56" s="63">
        <f>'Local multi year dist'!AK56</f>
        <v>9413.0203394496348</v>
      </c>
      <c r="T56" s="63"/>
      <c r="U56" s="63">
        <f>'Local multi year dist'!AM56</f>
        <v>0</v>
      </c>
      <c r="V56" s="63">
        <f>'Local multi year dist'!AN56</f>
        <v>16580.492031279475</v>
      </c>
      <c r="W56" s="63">
        <f>'Local multi year dist'!AO56</f>
        <v>19192.772528815232</v>
      </c>
      <c r="X56" s="63">
        <f>'Local multi year dist'!AP56</f>
        <v>7473.9378304160828</v>
      </c>
      <c r="Y56" s="63">
        <f>'Local multi year dist'!AQ56</f>
        <v>8200.0895753200475</v>
      </c>
      <c r="Z56" s="63">
        <f>'Local multi year dist'!AR56</f>
        <v>8735.983085455282</v>
      </c>
      <c r="AA56" s="63">
        <f>'Local multi year dist'!AS56</f>
        <v>6575.0097795905576</v>
      </c>
      <c r="AB56" s="63">
        <f>'Local multi year dist'!AT56</f>
        <v>9350.8322837196574</v>
      </c>
      <c r="AC56" s="63">
        <f>'Local multi year dist'!AU56</f>
        <v>9406.9541985080887</v>
      </c>
      <c r="AD56" s="63">
        <f>'Local multi year dist'!AV56</f>
        <v>8748.6484841892943</v>
      </c>
      <c r="AE56" s="63">
        <f>'Local multi year dist'!AW56</f>
        <v>8092.735851409986</v>
      </c>
      <c r="AF56" s="63">
        <f>'Local multi year dist'!AX56</f>
        <v>7410.449680010418</v>
      </c>
      <c r="AG56" s="63">
        <f>'Local multi year dist'!AY56</f>
        <v>5785.576020513824</v>
      </c>
      <c r="AH56" s="63">
        <f>'Local multi year dist'!AZ56</f>
        <v>5785.576020513824</v>
      </c>
      <c r="AI56" s="63">
        <f>'Local multi year dist'!BA56</f>
        <v>5785.576020513824</v>
      </c>
      <c r="AJ56" s="63">
        <f>'Local multi year dist'!BB56</f>
        <v>4781.9682881465014</v>
      </c>
      <c r="AK56" s="63">
        <f>'Local multi year dist'!BC56</f>
        <v>4781.9682881465014</v>
      </c>
      <c r="AL56" s="63">
        <f>'Local multi year dist'!BD56</f>
        <v>3451.4407911315325</v>
      </c>
      <c r="AN56" s="63">
        <f>'Local multi year dist'!BF56</f>
        <v>0</v>
      </c>
      <c r="AO56" s="63">
        <f>'Local multi year dist'!BG56</f>
        <v>4145.1230078198687</v>
      </c>
      <c r="AP56" s="63">
        <f>'Local multi year dist'!BH56</f>
        <v>4798.1931322038081</v>
      </c>
      <c r="AQ56" s="63">
        <f>'Local multi year dist'!BI56</f>
        <v>1868.4844576040207</v>
      </c>
      <c r="AR56" s="63">
        <f>'Local multi year dist'!BJ56</f>
        <v>2050.0223938300119</v>
      </c>
      <c r="AS56" s="63">
        <f>'Local multi year dist'!BK56</f>
        <v>2183.9957713638205</v>
      </c>
      <c r="AT56" s="63">
        <f>'Local multi year dist'!BL56</f>
        <v>1643.7524448976394</v>
      </c>
      <c r="AU56" s="63">
        <f>'Local multi year dist'!BM56</f>
        <v>2337.7080709299144</v>
      </c>
      <c r="AV56" s="63">
        <f>'Local multi year dist'!BN56</f>
        <v>2351.7385496270222</v>
      </c>
      <c r="AW56" s="63">
        <f>'Local multi year dist'!BO56</f>
        <v>2187.1621210473236</v>
      </c>
      <c r="AX56" s="63">
        <f>'Local multi year dist'!BP56</f>
        <v>2023.1839628524965</v>
      </c>
      <c r="AY56" s="63">
        <f>'Local multi year dist'!BQ56</f>
        <v>1852.6124200026045</v>
      </c>
      <c r="AZ56" s="63">
        <f>'Local multi year dist'!BR56</f>
        <v>1446.394005128456</v>
      </c>
      <c r="BA56" s="63">
        <f>'Local multi year dist'!BS56</f>
        <v>1446.394005128456</v>
      </c>
      <c r="BB56" s="63">
        <f>'Local multi year dist'!BT56</f>
        <v>1446.394005128456</v>
      </c>
      <c r="BC56" s="63">
        <f>'Local multi year dist'!BU56</f>
        <v>1195.4920720366254</v>
      </c>
      <c r="BD56" s="63">
        <f>'Local multi year dist'!BV56</f>
        <v>1195.4920720366254</v>
      </c>
      <c r="BE56" s="63">
        <f>'Local multi year dist'!BW56</f>
        <v>862.86019778288312</v>
      </c>
      <c r="BF56" s="63"/>
      <c r="BG56" s="63"/>
      <c r="BH56" s="63"/>
      <c r="BI56" s="63"/>
      <c r="BJ56" s="63"/>
      <c r="BK56" s="63"/>
      <c r="BL56" s="63"/>
      <c r="BM56" s="63"/>
      <c r="BN56" s="63"/>
      <c r="BO56" s="63"/>
      <c r="BP56" s="63"/>
      <c r="BQ56" s="63"/>
    </row>
    <row r="57" spans="1:69" x14ac:dyDescent="0.25">
      <c r="A57" t="str">
        <f>'Local multi year dist'!S57</f>
        <v>Greensville County</v>
      </c>
      <c r="B57" s="63">
        <f>'Local multi year dist'!T57</f>
        <v>5042.2738115856464</v>
      </c>
      <c r="C57" s="63">
        <f>'Local multi year dist'!U57</f>
        <v>31920.342222142586</v>
      </c>
      <c r="D57" s="63">
        <f>'Local multi year dist'!V57</f>
        <v>39365.949731764151</v>
      </c>
      <c r="E57" s="63">
        <f>'Local multi year dist'!W57</f>
        <v>15096.754573748542</v>
      </c>
      <c r="F57" s="63">
        <f>'Local multi year dist'!X57</f>
        <v>16222.438396188605</v>
      </c>
      <c r="G57" s="63">
        <f>'Local multi year dist'!Y57</f>
        <v>17240.581326578325</v>
      </c>
      <c r="H57" s="63">
        <f>'Local multi year dist'!Z57</f>
        <v>13134.952778153009</v>
      </c>
      <c r="I57" s="63">
        <f>'Local multi year dist'!AA57</f>
        <v>18408.73199948102</v>
      </c>
      <c r="J57" s="63">
        <f>'Local multi year dist'!AB57</f>
        <v>18492.490542788033</v>
      </c>
      <c r="K57" s="63">
        <f>'Local multi year dist'!AC57</f>
        <v>17314.387973069315</v>
      </c>
      <c r="L57" s="63">
        <f>'Local multi year dist'!AD57</f>
        <v>16067.858053007309</v>
      </c>
      <c r="M57" s="63">
        <f>'Local multi year dist'!AE57</f>
        <v>14771.584019500469</v>
      </c>
      <c r="N57" s="63">
        <f>'Local multi year dist'!AF57</f>
        <v>11272.877508551726</v>
      </c>
      <c r="O57" s="63">
        <f>'Local multi year dist'!AG57</f>
        <v>11272.877508551726</v>
      </c>
      <c r="P57" s="63">
        <f>'Local multi year dist'!AH57</f>
        <v>11272.877508551726</v>
      </c>
      <c r="Q57" s="63">
        <f>'Local multi year dist'!AI57</f>
        <v>9366.1253306117669</v>
      </c>
      <c r="R57" s="63">
        <f>'Local multi year dist'!AJ57</f>
        <v>9366.1253306117669</v>
      </c>
      <c r="S57" s="63">
        <f>'Local multi year dist'!AK57</f>
        <v>6557.3849555716561</v>
      </c>
      <c r="T57" s="63"/>
      <c r="U57" s="63">
        <f>'Local multi year dist'!AM57</f>
        <v>0</v>
      </c>
      <c r="V57" s="63">
        <f>'Local multi year dist'!AN57</f>
        <v>11550.455122913791</v>
      </c>
      <c r="W57" s="63">
        <f>'Local multi year dist'!AO57</f>
        <v>13370.246031309487</v>
      </c>
      <c r="X57" s="63">
        <f>'Local multi year dist'!AP57</f>
        <v>5206.5634324246867</v>
      </c>
      <c r="Y57" s="63">
        <f>'Local multi year dist'!AQ57</f>
        <v>5712.4219513465496</v>
      </c>
      <c r="Z57" s="63">
        <f>'Local multi year dist'!AR57</f>
        <v>6085.741025822781</v>
      </c>
      <c r="AA57" s="63">
        <f>'Local multi year dist'!AS57</f>
        <v>4580.3438914001636</v>
      </c>
      <c r="AB57" s="63">
        <f>'Local multi year dist'!AT57</f>
        <v>6514.0629392204355</v>
      </c>
      <c r="AC57" s="63">
        <f>'Local multi year dist'!AU57</f>
        <v>6553.1591045786681</v>
      </c>
      <c r="AD57" s="63">
        <f>'Local multi year dist'!AV57</f>
        <v>6094.5641125813072</v>
      </c>
      <c r="AE57" s="63">
        <f>'Local multi year dist'!AW57</f>
        <v>5637.6362110945975</v>
      </c>
      <c r="AF57" s="63">
        <f>'Local multi year dist'!AX57</f>
        <v>5162.335732142089</v>
      </c>
      <c r="AG57" s="63">
        <f>'Local multi year dist'!AY57</f>
        <v>4030.4012727174954</v>
      </c>
      <c r="AH57" s="63">
        <f>'Local multi year dist'!AZ57</f>
        <v>4030.4012727174954</v>
      </c>
      <c r="AI57" s="63">
        <f>'Local multi year dist'!BA57</f>
        <v>4030.4012727174954</v>
      </c>
      <c r="AJ57" s="63">
        <f>'Local multi year dist'!BB57</f>
        <v>3331.2588074728442</v>
      </c>
      <c r="AK57" s="63">
        <f>'Local multi year dist'!BC57</f>
        <v>3331.2588074728442</v>
      </c>
      <c r="AL57" s="63">
        <f>'Local multi year dist'!BD57</f>
        <v>2404.3744837096069</v>
      </c>
      <c r="AN57" s="63">
        <f>'Local multi year dist'!BF57</f>
        <v>0</v>
      </c>
      <c r="AO57" s="63">
        <f>'Local multi year dist'!BG57</f>
        <v>2887.6137807284476</v>
      </c>
      <c r="AP57" s="63">
        <f>'Local multi year dist'!BH57</f>
        <v>3342.5615078273718</v>
      </c>
      <c r="AQ57" s="63">
        <f>'Local multi year dist'!BI57</f>
        <v>1301.6408581061717</v>
      </c>
      <c r="AR57" s="63">
        <f>'Local multi year dist'!BJ57</f>
        <v>1428.1054878366374</v>
      </c>
      <c r="AS57" s="63">
        <f>'Local multi year dist'!BK57</f>
        <v>1521.4352564556953</v>
      </c>
      <c r="AT57" s="63">
        <f>'Local multi year dist'!BL57</f>
        <v>1145.0859728500409</v>
      </c>
      <c r="AU57" s="63">
        <f>'Local multi year dist'!BM57</f>
        <v>1628.5157348051089</v>
      </c>
      <c r="AV57" s="63">
        <f>'Local multi year dist'!BN57</f>
        <v>1638.289776144667</v>
      </c>
      <c r="AW57" s="63">
        <f>'Local multi year dist'!BO57</f>
        <v>1523.6410281453268</v>
      </c>
      <c r="AX57" s="63">
        <f>'Local multi year dist'!BP57</f>
        <v>1409.4090527736494</v>
      </c>
      <c r="AY57" s="63">
        <f>'Local multi year dist'!BQ57</f>
        <v>1290.5839330355223</v>
      </c>
      <c r="AZ57" s="63">
        <f>'Local multi year dist'!BR57</f>
        <v>1007.6003181793739</v>
      </c>
      <c r="BA57" s="63">
        <f>'Local multi year dist'!BS57</f>
        <v>1007.6003181793739</v>
      </c>
      <c r="BB57" s="63">
        <f>'Local multi year dist'!BT57</f>
        <v>1007.6003181793739</v>
      </c>
      <c r="BC57" s="63">
        <f>'Local multi year dist'!BU57</f>
        <v>832.81470186821105</v>
      </c>
      <c r="BD57" s="63">
        <f>'Local multi year dist'!BV57</f>
        <v>832.81470186821105</v>
      </c>
      <c r="BE57" s="63">
        <f>'Local multi year dist'!BW57</f>
        <v>601.09362092740173</v>
      </c>
      <c r="BF57" s="63"/>
      <c r="BG57" s="63"/>
      <c r="BH57" s="63"/>
      <c r="BI57" s="63"/>
      <c r="BJ57" s="63"/>
      <c r="BK57" s="63"/>
      <c r="BL57" s="63"/>
      <c r="BM57" s="63"/>
      <c r="BN57" s="63"/>
      <c r="BO57" s="63"/>
      <c r="BP57" s="63"/>
      <c r="BQ57" s="63"/>
    </row>
    <row r="58" spans="1:69" x14ac:dyDescent="0.25">
      <c r="A58" t="str">
        <f>'Local multi year dist'!S58</f>
        <v>Halifax County</v>
      </c>
      <c r="B58" s="63">
        <f>'Local multi year dist'!T58</f>
        <v>14354.21496362688</v>
      </c>
      <c r="C58" s="63">
        <f>'Local multi year dist'!U58</f>
        <v>90870.006487228471</v>
      </c>
      <c r="D58" s="63">
        <f>'Local multi year dist'!V58</f>
        <v>112065.96980090922</v>
      </c>
      <c r="E58" s="63">
        <f>'Local multi year dist'!W58</f>
        <v>42977.051326880923</v>
      </c>
      <c r="F58" s="63">
        <f>'Local multi year dist'!X58</f>
        <v>46181.618982698201</v>
      </c>
      <c r="G58" s="63">
        <f>'Local multi year dist'!Y58</f>
        <v>49080.04200227539</v>
      </c>
      <c r="H58" s="63">
        <f>'Local multi year dist'!Z58</f>
        <v>37392.244602322673</v>
      </c>
      <c r="I58" s="63">
        <f>'Local multi year dist'!AA58</f>
        <v>52405.503192070959</v>
      </c>
      <c r="J58" s="63">
        <f>'Local multi year dist'!AB58</f>
        <v>52643.944851646578</v>
      </c>
      <c r="K58" s="63">
        <f>'Local multi year dist'!AC58</f>
        <v>49290.152858818285</v>
      </c>
      <c r="L58" s="63">
        <f>'Local multi year dist'!AD58</f>
        <v>45741.563650899836</v>
      </c>
      <c r="M58" s="63">
        <f>'Local multi year dist'!AE58</f>
        <v>42051.364184545688</v>
      </c>
      <c r="N58" s="63">
        <f>'Local multi year dist'!AF58</f>
        <v>32091.336778377085</v>
      </c>
      <c r="O58" s="63">
        <f>'Local multi year dist'!AG58</f>
        <v>32091.336778377085</v>
      </c>
      <c r="P58" s="63">
        <f>'Local multi year dist'!AH58</f>
        <v>32091.336778377085</v>
      </c>
      <c r="Q58" s="63">
        <f>'Local multi year dist'!AI58</f>
        <v>26663.243884725427</v>
      </c>
      <c r="R58" s="63">
        <f>'Local multi year dist'!AJ58</f>
        <v>26663.243884725427</v>
      </c>
      <c r="S58" s="63">
        <f>'Local multi year dist'!AK58</f>
        <v>18667.394268683824</v>
      </c>
      <c r="T58" s="63"/>
      <c r="U58" s="63">
        <f>'Local multi year dist'!AM58</f>
        <v>0</v>
      </c>
      <c r="V58" s="63">
        <f>'Local multi year dist'!AN58</f>
        <v>32881.537567649742</v>
      </c>
      <c r="W58" s="63">
        <f>'Local multi year dist'!AO58</f>
        <v>38062.071363324583</v>
      </c>
      <c r="X58" s="63">
        <f>'Local multi year dist'!AP58</f>
        <v>14821.910416499308</v>
      </c>
      <c r="Y58" s="63">
        <f>'Local multi year dist'!AQ58</f>
        <v>16261.975393752675</v>
      </c>
      <c r="Z58" s="63">
        <f>'Local multi year dist'!AR58</f>
        <v>17324.730500930978</v>
      </c>
      <c r="AA58" s="63">
        <f>'Local multi year dist'!AS58</f>
        <v>13039.204787614981</v>
      </c>
      <c r="AB58" s="63">
        <f>'Local multi year dist'!AT58</f>
        <v>18544.06627052269</v>
      </c>
      <c r="AC58" s="63">
        <f>'Local multi year dist'!AU58</f>
        <v>18655.364225131205</v>
      </c>
      <c r="AD58" s="63">
        <f>'Local multi year dist'!AV58</f>
        <v>17349.84783662259</v>
      </c>
      <c r="AE58" s="63">
        <f>'Local multi year dist'!AW58</f>
        <v>16049.077278358005</v>
      </c>
      <c r="AF58" s="63">
        <f>'Local multi year dist'!AX58</f>
        <v>14696.004140694815</v>
      </c>
      <c r="AG58" s="63">
        <f>'Local multi year dist'!AY58</f>
        <v>11473.64233281674</v>
      </c>
      <c r="AH58" s="63">
        <f>'Local multi year dist'!AZ58</f>
        <v>11473.64233281674</v>
      </c>
      <c r="AI58" s="63">
        <f>'Local multi year dist'!BA58</f>
        <v>11473.64233281674</v>
      </c>
      <c r="AJ58" s="63">
        <f>'Local multi year dist'!BB58</f>
        <v>9483.3416051444656</v>
      </c>
      <c r="AK58" s="63">
        <f>'Local multi year dist'!BC58</f>
        <v>9483.3416051444656</v>
      </c>
      <c r="AL58" s="63">
        <f>'Local multi year dist'!BD58</f>
        <v>6844.7112318507352</v>
      </c>
      <c r="AN58" s="63">
        <f>'Local multi year dist'!BF58</f>
        <v>0</v>
      </c>
      <c r="AO58" s="63">
        <f>'Local multi year dist'!BG58</f>
        <v>8220.3843919124356</v>
      </c>
      <c r="AP58" s="63">
        <f>'Local multi year dist'!BH58</f>
        <v>9515.5178408311458</v>
      </c>
      <c r="AQ58" s="63">
        <f>'Local multi year dist'!BI58</f>
        <v>3705.4776041248269</v>
      </c>
      <c r="AR58" s="63">
        <f>'Local multi year dist'!BJ58</f>
        <v>4065.4938484381687</v>
      </c>
      <c r="AS58" s="63">
        <f>'Local multi year dist'!BK58</f>
        <v>4331.1826252327446</v>
      </c>
      <c r="AT58" s="63">
        <f>'Local multi year dist'!BL58</f>
        <v>3259.8011969037452</v>
      </c>
      <c r="AU58" s="63">
        <f>'Local multi year dist'!BM58</f>
        <v>4636.0165676306724</v>
      </c>
      <c r="AV58" s="63">
        <f>'Local multi year dist'!BN58</f>
        <v>4663.8410562828012</v>
      </c>
      <c r="AW58" s="63">
        <f>'Local multi year dist'!BO58</f>
        <v>4337.4619591556475</v>
      </c>
      <c r="AX58" s="63">
        <f>'Local multi year dist'!BP58</f>
        <v>4012.2693195895013</v>
      </c>
      <c r="AY58" s="63">
        <f>'Local multi year dist'!BQ58</f>
        <v>3674.0010351737037</v>
      </c>
      <c r="AZ58" s="63">
        <f>'Local multi year dist'!BR58</f>
        <v>2868.4105832041851</v>
      </c>
      <c r="BA58" s="63">
        <f>'Local multi year dist'!BS58</f>
        <v>2868.4105832041851</v>
      </c>
      <c r="BB58" s="63">
        <f>'Local multi year dist'!BT58</f>
        <v>2868.4105832041851</v>
      </c>
      <c r="BC58" s="63">
        <f>'Local multi year dist'!BU58</f>
        <v>2370.8354012861164</v>
      </c>
      <c r="BD58" s="63">
        <f>'Local multi year dist'!BV58</f>
        <v>2370.8354012861164</v>
      </c>
      <c r="BE58" s="63">
        <f>'Local multi year dist'!BW58</f>
        <v>1711.1778079626838</v>
      </c>
      <c r="BF58" s="63"/>
      <c r="BG58" s="63"/>
      <c r="BH58" s="63"/>
      <c r="BI58" s="63"/>
      <c r="BJ58" s="63"/>
      <c r="BK58" s="63"/>
      <c r="BL58" s="63"/>
      <c r="BM58" s="63"/>
      <c r="BN58" s="63"/>
      <c r="BO58" s="63"/>
      <c r="BP58" s="63"/>
      <c r="BQ58" s="63"/>
    </row>
    <row r="59" spans="1:69" x14ac:dyDescent="0.25">
      <c r="A59" t="str">
        <f>'Local multi year dist'!S59</f>
        <v>Hampton City</v>
      </c>
      <c r="B59" s="63">
        <f>'Local multi year dist'!T59</f>
        <v>62540.460663054226</v>
      </c>
      <c r="C59" s="63">
        <f>'Local multi year dist'!U59</f>
        <v>395915.21240044589</v>
      </c>
      <c r="D59" s="63">
        <f>'Local multi year dist'!V59</f>
        <v>488264.76360849402</v>
      </c>
      <c r="E59" s="63">
        <f>'Local multi year dist'!W59</f>
        <v>187248.45592278431</v>
      </c>
      <c r="F59" s="63">
        <f>'Local multi year dist'!X59</f>
        <v>201210.566559178</v>
      </c>
      <c r="G59" s="63">
        <f>'Local multi year dist'!Y59</f>
        <v>213838.82322804406</v>
      </c>
      <c r="H59" s="63">
        <f>'Local multi year dist'!Z59</f>
        <v>162915.78526451069</v>
      </c>
      <c r="I59" s="63">
        <f>'Local multi year dist'!AA59</f>
        <v>228327.65980001458</v>
      </c>
      <c r="J59" s="63">
        <f>'Local multi year dist'!AB59</f>
        <v>229366.53592587094</v>
      </c>
      <c r="K59" s="63">
        <f>'Local multi year dist'!AC59</f>
        <v>214754.26373048872</v>
      </c>
      <c r="L59" s="63">
        <f>'Local multi year dist'!AD59</f>
        <v>199293.27165746162</v>
      </c>
      <c r="M59" s="63">
        <f>'Local multi year dist'!AE59</f>
        <v>183215.29211283644</v>
      </c>
      <c r="N59" s="63">
        <f>'Local multi year dist'!AF59</f>
        <v>139820.04522703672</v>
      </c>
      <c r="O59" s="63">
        <f>'Local multi year dist'!AG59</f>
        <v>139820.04522703672</v>
      </c>
      <c r="P59" s="63">
        <f>'Local multi year dist'!AH59</f>
        <v>139820.04522703672</v>
      </c>
      <c r="Q59" s="63">
        <f>'Local multi year dist'!AI59</f>
        <v>116170.16740710399</v>
      </c>
      <c r="R59" s="63">
        <f>'Local multi year dist'!AJ59</f>
        <v>116170.16740710399</v>
      </c>
      <c r="S59" s="63">
        <f>'Local multi year dist'!AK59</f>
        <v>81332.726303783915</v>
      </c>
      <c r="T59" s="63"/>
      <c r="U59" s="63">
        <f>'Local multi year dist'!AM59</f>
        <v>0</v>
      </c>
      <c r="V59" s="63">
        <f>'Local multi year dist'!AN59</f>
        <v>143262.90305678555</v>
      </c>
      <c r="W59" s="63">
        <f>'Local multi year dist'!AO59</f>
        <v>165834.18061414509</v>
      </c>
      <c r="X59" s="63">
        <f>'Local multi year dist'!AP59</f>
        <v>64578.181927977159</v>
      </c>
      <c r="Y59" s="63">
        <f>'Local multi year dist'!AQ59</f>
        <v>70852.4593642822</v>
      </c>
      <c r="Z59" s="63">
        <f>'Local multi year dist'!AR59</f>
        <v>75482.820142866418</v>
      </c>
      <c r="AA59" s="63">
        <f>'Local multi year dist'!AS59</f>
        <v>56811.039556237512</v>
      </c>
      <c r="AB59" s="63">
        <f>'Local multi year dist'!AT59</f>
        <v>80795.393552588939</v>
      </c>
      <c r="AC59" s="63">
        <f>'Local multi year dist'!AU59</f>
        <v>81280.312119693481</v>
      </c>
      <c r="AD59" s="63">
        <f>'Local multi year dist'!AV59</f>
        <v>75592.254880242326</v>
      </c>
      <c r="AE59" s="63">
        <f>'Local multi year dist'!AW59</f>
        <v>69924.87494083459</v>
      </c>
      <c r="AF59" s="63">
        <f>'Local multi year dist'!AX59</f>
        <v>64029.615774472033</v>
      </c>
      <c r="AG59" s="63">
        <f>'Local multi year dist'!AY59</f>
        <v>49989.977076125062</v>
      </c>
      <c r="AH59" s="63">
        <f>'Local multi year dist'!AZ59</f>
        <v>49989.977076125062</v>
      </c>
      <c r="AI59" s="63">
        <f>'Local multi year dist'!BA59</f>
        <v>49989.977076125062</v>
      </c>
      <c r="AJ59" s="63">
        <f>'Local multi year dist'!BB59</f>
        <v>41318.3552088164</v>
      </c>
      <c r="AK59" s="63">
        <f>'Local multi year dist'!BC59</f>
        <v>41318.3552088164</v>
      </c>
      <c r="AL59" s="63">
        <f>'Local multi year dist'!BD59</f>
        <v>29821.999644720767</v>
      </c>
      <c r="AN59" s="63">
        <f>'Local multi year dist'!BF59</f>
        <v>0</v>
      </c>
      <c r="AO59" s="63">
        <f>'Local multi year dist'!BG59</f>
        <v>35815.725764196388</v>
      </c>
      <c r="AP59" s="63">
        <f>'Local multi year dist'!BH59</f>
        <v>41458.545153536274</v>
      </c>
      <c r="AQ59" s="63">
        <f>'Local multi year dist'!BI59</f>
        <v>16144.54548199429</v>
      </c>
      <c r="AR59" s="63">
        <f>'Local multi year dist'!BJ59</f>
        <v>17713.11484107055</v>
      </c>
      <c r="AS59" s="63">
        <f>'Local multi year dist'!BK59</f>
        <v>18870.705035716604</v>
      </c>
      <c r="AT59" s="63">
        <f>'Local multi year dist'!BL59</f>
        <v>14202.759889059378</v>
      </c>
      <c r="AU59" s="63">
        <f>'Local multi year dist'!BM59</f>
        <v>20198.848388147235</v>
      </c>
      <c r="AV59" s="63">
        <f>'Local multi year dist'!BN59</f>
        <v>20320.07802992337</v>
      </c>
      <c r="AW59" s="63">
        <f>'Local multi year dist'!BO59</f>
        <v>18898.063720060582</v>
      </c>
      <c r="AX59" s="63">
        <f>'Local multi year dist'!BP59</f>
        <v>17481.218735208648</v>
      </c>
      <c r="AY59" s="63">
        <f>'Local multi year dist'!BQ59</f>
        <v>16007.403943618008</v>
      </c>
      <c r="AZ59" s="63">
        <f>'Local multi year dist'!BR59</f>
        <v>12497.494269031266</v>
      </c>
      <c r="BA59" s="63">
        <f>'Local multi year dist'!BS59</f>
        <v>12497.494269031266</v>
      </c>
      <c r="BB59" s="63">
        <f>'Local multi year dist'!BT59</f>
        <v>12497.494269031266</v>
      </c>
      <c r="BC59" s="63">
        <f>'Local multi year dist'!BU59</f>
        <v>10329.5888022041</v>
      </c>
      <c r="BD59" s="63">
        <f>'Local multi year dist'!BV59</f>
        <v>10329.5888022041</v>
      </c>
      <c r="BE59" s="63">
        <f>'Local multi year dist'!BW59</f>
        <v>7455.4999111801917</v>
      </c>
      <c r="BF59" s="63"/>
      <c r="BG59" s="63"/>
      <c r="BH59" s="63"/>
      <c r="BI59" s="63"/>
      <c r="BJ59" s="63"/>
      <c r="BK59" s="63"/>
      <c r="BL59" s="63"/>
      <c r="BM59" s="63"/>
      <c r="BN59" s="63"/>
      <c r="BO59" s="63"/>
      <c r="BP59" s="63"/>
      <c r="BQ59" s="63"/>
    </row>
    <row r="60" spans="1:69" x14ac:dyDescent="0.25">
      <c r="A60" t="str">
        <f>'Local multi year dist'!S60</f>
        <v>Hanover County</v>
      </c>
      <c r="B60" s="63">
        <f>'Local multi year dist'!T60</f>
        <v>43875.914860491226</v>
      </c>
      <c r="C60" s="63">
        <f>'Local multi year dist'!U60</f>
        <v>277758.4617555794</v>
      </c>
      <c r="D60" s="63">
        <f>'Local multi year dist'!V60</f>
        <v>342547.25613365736</v>
      </c>
      <c r="E60" s="63">
        <f>'Local multi year dist'!W60</f>
        <v>131366.11439576352</v>
      </c>
      <c r="F60" s="63">
        <f>'Local multi year dist'!X60</f>
        <v>141161.37927006051</v>
      </c>
      <c r="G60" s="63">
        <f>'Local multi year dist'!Y60</f>
        <v>150020.86493046783</v>
      </c>
      <c r="H60" s="63">
        <f>'Local multi year dist'!Z60</f>
        <v>114295.27457763787</v>
      </c>
      <c r="I60" s="63">
        <f>'Local multi year dist'!AA60</f>
        <v>160185.65989870983</v>
      </c>
      <c r="J60" s="63">
        <f>'Local multi year dist'!AB60</f>
        <v>160914.49431990556</v>
      </c>
      <c r="K60" s="63">
        <f>'Local multi year dist'!AC60</f>
        <v>150663.10179791765</v>
      </c>
      <c r="L60" s="63">
        <f>'Local multi year dist'!AD60</f>
        <v>139816.28096124908</v>
      </c>
      <c r="M60" s="63">
        <f>'Local multi year dist'!AE60</f>
        <v>128536.6061051694</v>
      </c>
      <c r="N60" s="63">
        <f>'Local multi year dist'!AF60</f>
        <v>98092.216384897663</v>
      </c>
      <c r="O60" s="63">
        <f>'Local multi year dist'!AG60</f>
        <v>98092.216384897663</v>
      </c>
      <c r="P60" s="63">
        <f>'Local multi year dist'!AH60</f>
        <v>98092.216384897663</v>
      </c>
      <c r="Q60" s="63">
        <f>'Local multi year dist'!AI60</f>
        <v>81500.397030081411</v>
      </c>
      <c r="R60" s="63">
        <f>'Local multi year dist'!AJ60</f>
        <v>81500.397030081411</v>
      </c>
      <c r="S60" s="63">
        <f>'Local multi year dist'!AK60</f>
        <v>57059.825540821097</v>
      </c>
      <c r="T60" s="63"/>
      <c r="U60" s="63">
        <f>'Local multi year dist'!AM60</f>
        <v>0</v>
      </c>
      <c r="V60" s="63">
        <f>'Local multi year dist'!AN60</f>
        <v>100507.58933567726</v>
      </c>
      <c r="W60" s="63">
        <f>'Local multi year dist'!AO60</f>
        <v>116342.70538534626</v>
      </c>
      <c r="X60" s="63">
        <f>'Local multi year dist'!AP60</f>
        <v>45305.499545050297</v>
      </c>
      <c r="Y60" s="63">
        <f>'Local multi year dist'!AQ60</f>
        <v>49707.284560507469</v>
      </c>
      <c r="Z60" s="63">
        <f>'Local multi year dist'!AR60</f>
        <v>52955.762635990162</v>
      </c>
      <c r="AA60" s="63">
        <f>'Local multi year dist'!AS60</f>
        <v>39856.379506619167</v>
      </c>
      <c r="AB60" s="63">
        <f>'Local multi year dist'!AT60</f>
        <v>56682.854124345555</v>
      </c>
      <c r="AC60" s="63">
        <f>'Local multi year dist'!AU60</f>
        <v>57023.053821293404</v>
      </c>
      <c r="AD60" s="63">
        <f>'Local multi year dist'!AV60</f>
        <v>53032.53772157443</v>
      </c>
      <c r="AE60" s="63">
        <f>'Local multi year dist'!AW60</f>
        <v>49056.52799815379</v>
      </c>
      <c r="AF60" s="63">
        <f>'Local multi year dist'!AX60</f>
        <v>44920.647217591235</v>
      </c>
      <c r="AG60" s="63">
        <f>'Local multi year dist'!AY60</f>
        <v>35070.991719856269</v>
      </c>
      <c r="AH60" s="63">
        <f>'Local multi year dist'!AZ60</f>
        <v>35070.991719856269</v>
      </c>
      <c r="AI60" s="63">
        <f>'Local multi year dist'!BA60</f>
        <v>35070.991719856269</v>
      </c>
      <c r="AJ60" s="63">
        <f>'Local multi year dist'!BB60</f>
        <v>28987.32462309031</v>
      </c>
      <c r="AK60" s="63">
        <f>'Local multi year dist'!BC60</f>
        <v>28987.32462309031</v>
      </c>
      <c r="AL60" s="63">
        <f>'Local multi year dist'!BD60</f>
        <v>20921.936031634399</v>
      </c>
      <c r="AN60" s="63">
        <f>'Local multi year dist'!BF60</f>
        <v>0</v>
      </c>
      <c r="AO60" s="63">
        <f>'Local multi year dist'!BG60</f>
        <v>25126.897333919314</v>
      </c>
      <c r="AP60" s="63">
        <f>'Local multi year dist'!BH60</f>
        <v>29085.676346336564</v>
      </c>
      <c r="AQ60" s="63">
        <f>'Local multi year dist'!BI60</f>
        <v>11326.374886262574</v>
      </c>
      <c r="AR60" s="63">
        <f>'Local multi year dist'!BJ60</f>
        <v>12426.821140126867</v>
      </c>
      <c r="AS60" s="63">
        <f>'Local multi year dist'!BK60</f>
        <v>13238.940658997541</v>
      </c>
      <c r="AT60" s="63">
        <f>'Local multi year dist'!BL60</f>
        <v>9964.0948766547917</v>
      </c>
      <c r="AU60" s="63">
        <f>'Local multi year dist'!BM60</f>
        <v>14170.713531086389</v>
      </c>
      <c r="AV60" s="63">
        <f>'Local multi year dist'!BN60</f>
        <v>14255.763455323351</v>
      </c>
      <c r="AW60" s="63">
        <f>'Local multi year dist'!BO60</f>
        <v>13258.134430393608</v>
      </c>
      <c r="AX60" s="63">
        <f>'Local multi year dist'!BP60</f>
        <v>12264.131999538447</v>
      </c>
      <c r="AY60" s="63">
        <f>'Local multi year dist'!BQ60</f>
        <v>11230.161804397809</v>
      </c>
      <c r="AZ60" s="63">
        <f>'Local multi year dist'!BR60</f>
        <v>8767.7479299640672</v>
      </c>
      <c r="BA60" s="63">
        <f>'Local multi year dist'!BS60</f>
        <v>8767.7479299640672</v>
      </c>
      <c r="BB60" s="63">
        <f>'Local multi year dist'!BT60</f>
        <v>8767.7479299640672</v>
      </c>
      <c r="BC60" s="63">
        <f>'Local multi year dist'!BU60</f>
        <v>7246.8311557725774</v>
      </c>
      <c r="BD60" s="63">
        <f>'Local multi year dist'!BV60</f>
        <v>7246.8311557725774</v>
      </c>
      <c r="BE60" s="63">
        <f>'Local multi year dist'!BW60</f>
        <v>5230.4840079085998</v>
      </c>
      <c r="BF60" s="63"/>
      <c r="BG60" s="63"/>
      <c r="BH60" s="63"/>
      <c r="BI60" s="63"/>
      <c r="BJ60" s="63"/>
      <c r="BK60" s="63"/>
      <c r="BL60" s="63"/>
      <c r="BM60" s="63"/>
      <c r="BN60" s="63"/>
      <c r="BO60" s="63"/>
      <c r="BP60" s="63"/>
      <c r="BQ60" s="63"/>
    </row>
    <row r="61" spans="1:69" x14ac:dyDescent="0.25">
      <c r="A61" t="str">
        <f>'Local multi year dist'!S61</f>
        <v>Harrisonburg City</v>
      </c>
      <c r="B61" s="63">
        <f>'Local multi year dist'!T61</f>
        <v>21267.009705316919</v>
      </c>
      <c r="C61" s="63">
        <f>'Local multi year dist'!U61</f>
        <v>134631.76598532745</v>
      </c>
      <c r="D61" s="63">
        <f>'Local multi year dist'!V61</f>
        <v>166035.417013812</v>
      </c>
      <c r="E61" s="63">
        <f>'Local multi year dist'!W61</f>
        <v>63674.21485540727</v>
      </c>
      <c r="F61" s="63">
        <f>'Local multi year dist'!X61</f>
        <v>68422.058719408509</v>
      </c>
      <c r="G61" s="63">
        <f>'Local multi year dist'!Y61</f>
        <v>72716.322853229678</v>
      </c>
      <c r="H61" s="63">
        <f>'Local multi year dist'!Z61</f>
        <v>55399.841153016423</v>
      </c>
      <c r="I61" s="63">
        <f>'Local multi year dist'!AA61</f>
        <v>77643.280933295086</v>
      </c>
      <c r="J61" s="63">
        <f>'Local multi year dist'!AB61</f>
        <v>77996.552853856119</v>
      </c>
      <c r="K61" s="63">
        <f>'Local multi year dist'!AC61</f>
        <v>73027.620241252152</v>
      </c>
      <c r="L61" s="63">
        <f>'Local multi year dist'!AD61</f>
        <v>67770.078723571278</v>
      </c>
      <c r="M61" s="63">
        <f>'Local multi year dist'!AE61</f>
        <v>62302.72937257064</v>
      </c>
      <c r="N61" s="63">
        <f>'Local multi year dist'!AF61</f>
        <v>47546.088201391642</v>
      </c>
      <c r="O61" s="63">
        <f>'Local multi year dist'!AG61</f>
        <v>47546.088201391642</v>
      </c>
      <c r="P61" s="63">
        <f>'Local multi year dist'!AH61</f>
        <v>47546.088201391642</v>
      </c>
      <c r="Q61" s="63">
        <f>'Local multi year dist'!AI61</f>
        <v>39503.899579919052</v>
      </c>
      <c r="R61" s="63">
        <f>'Local multi year dist'!AJ61</f>
        <v>39503.899579919052</v>
      </c>
      <c r="S61" s="63">
        <f>'Local multi year dist'!AK61</f>
        <v>27657.357514225663</v>
      </c>
      <c r="T61" s="63"/>
      <c r="U61" s="63">
        <f>'Local multi year dist'!AM61</f>
        <v>0</v>
      </c>
      <c r="V61" s="63">
        <f>'Local multi year dist'!AN61</f>
        <v>48716.838945838092</v>
      </c>
      <c r="W61" s="63">
        <f>'Local multi year dist'!AO61</f>
        <v>56392.247373990926</v>
      </c>
      <c r="X61" s="63">
        <f>'Local multi year dist'!AP61</f>
        <v>21959.940928694487</v>
      </c>
      <c r="Y61" s="63">
        <f>'Local multi year dist'!AQ61</f>
        <v>24093.521617372993</v>
      </c>
      <c r="Z61" s="63">
        <f>'Local multi year dist'!AR61</f>
        <v>25668.085133107419</v>
      </c>
      <c r="AA61" s="63">
        <f>'Local multi year dist'!AS61</f>
        <v>19318.708509695887</v>
      </c>
      <c r="AB61" s="63">
        <f>'Local multi year dist'!AT61</f>
        <v>27474.636429131402</v>
      </c>
      <c r="AC61" s="63">
        <f>'Local multi year dist'!AU61</f>
        <v>27639.533965279436</v>
      </c>
      <c r="AD61" s="63">
        <f>'Local multi year dist'!AV61</f>
        <v>25705.298636129268</v>
      </c>
      <c r="AE61" s="63">
        <f>'Local multi year dist'!AW61</f>
        <v>23778.094664536125</v>
      </c>
      <c r="AF61" s="63">
        <f>'Local multi year dist'!AX61</f>
        <v>21773.399902502559</v>
      </c>
      <c r="AG61" s="63">
        <f>'Local multi year dist'!AY61</f>
        <v>16999.192464768177</v>
      </c>
      <c r="AH61" s="63">
        <f>'Local multi year dist'!AZ61</f>
        <v>16999.192464768177</v>
      </c>
      <c r="AI61" s="63">
        <f>'Local multi year dist'!BA61</f>
        <v>16999.192464768177</v>
      </c>
      <c r="AJ61" s="63">
        <f>'Local multi year dist'!BB61</f>
        <v>14050.389970228231</v>
      </c>
      <c r="AK61" s="63">
        <f>'Local multi year dist'!BC61</f>
        <v>14050.389970228231</v>
      </c>
      <c r="AL61" s="63">
        <f>'Local multi year dist'!BD61</f>
        <v>10141.031088549409</v>
      </c>
      <c r="AN61" s="63">
        <f>'Local multi year dist'!BF61</f>
        <v>0</v>
      </c>
      <c r="AO61" s="63">
        <f>'Local multi year dist'!BG61</f>
        <v>12179.209736459523</v>
      </c>
      <c r="AP61" s="63">
        <f>'Local multi year dist'!BH61</f>
        <v>14098.061843497731</v>
      </c>
      <c r="AQ61" s="63">
        <f>'Local multi year dist'!BI61</f>
        <v>5489.9852321736216</v>
      </c>
      <c r="AR61" s="63">
        <f>'Local multi year dist'!BJ61</f>
        <v>6023.3804043432483</v>
      </c>
      <c r="AS61" s="63">
        <f>'Local multi year dist'!BK61</f>
        <v>6417.0212832768548</v>
      </c>
      <c r="AT61" s="63">
        <f>'Local multi year dist'!BL61</f>
        <v>4829.6771274239718</v>
      </c>
      <c r="AU61" s="63">
        <f>'Local multi year dist'!BM61</f>
        <v>6868.6591072828505</v>
      </c>
      <c r="AV61" s="63">
        <f>'Local multi year dist'!BN61</f>
        <v>6909.8834913198589</v>
      </c>
      <c r="AW61" s="63">
        <f>'Local multi year dist'!BO61</f>
        <v>6426.324659032317</v>
      </c>
      <c r="AX61" s="63">
        <f>'Local multi year dist'!BP61</f>
        <v>5944.5236661340314</v>
      </c>
      <c r="AY61" s="63">
        <f>'Local multi year dist'!BQ61</f>
        <v>5443.3499756256397</v>
      </c>
      <c r="AZ61" s="63">
        <f>'Local multi year dist'!BR61</f>
        <v>4249.7981161920443</v>
      </c>
      <c r="BA61" s="63">
        <f>'Local multi year dist'!BS61</f>
        <v>4249.7981161920443</v>
      </c>
      <c r="BB61" s="63">
        <f>'Local multi year dist'!BT61</f>
        <v>4249.7981161920443</v>
      </c>
      <c r="BC61" s="63">
        <f>'Local multi year dist'!BU61</f>
        <v>3512.5974925570576</v>
      </c>
      <c r="BD61" s="63">
        <f>'Local multi year dist'!BV61</f>
        <v>3512.5974925570576</v>
      </c>
      <c r="BE61" s="63">
        <f>'Local multi year dist'!BW61</f>
        <v>2535.2577721373523</v>
      </c>
      <c r="BF61" s="63"/>
      <c r="BG61" s="63"/>
      <c r="BH61" s="63"/>
      <c r="BI61" s="63"/>
      <c r="BJ61" s="63"/>
      <c r="BK61" s="63"/>
      <c r="BL61" s="63"/>
      <c r="BM61" s="63"/>
      <c r="BN61" s="63"/>
      <c r="BO61" s="63"/>
      <c r="BP61" s="63"/>
      <c r="BQ61" s="63"/>
    </row>
    <row r="62" spans="1:69" x14ac:dyDescent="0.25">
      <c r="A62" t="str">
        <f>'Local multi year dist'!S62</f>
        <v>Henrico County</v>
      </c>
      <c r="B62" s="63">
        <f>'Local multi year dist'!T62</f>
        <v>181887.82870340804</v>
      </c>
      <c r="C62" s="63">
        <f>'Local multi year dist'!U62</f>
        <v>1151449.1190293853</v>
      </c>
      <c r="D62" s="63">
        <f>'Local multi year dist'!V62</f>
        <v>1420031.3963724277</v>
      </c>
      <c r="E62" s="63">
        <f>'Local multi year dist'!W62</f>
        <v>544578.89684175188</v>
      </c>
      <c r="F62" s="63">
        <f>'Local multi year dist'!X62</f>
        <v>585185.21730767447</v>
      </c>
      <c r="G62" s="63">
        <f>'Local multi year dist'!Y62</f>
        <v>621912.26027245843</v>
      </c>
      <c r="H62" s="63">
        <f>'Local multi year dist'!Z62</f>
        <v>473811.64336030971</v>
      </c>
      <c r="I62" s="63">
        <f>'Local multi year dist'!AA62</f>
        <v>664050.46962644032</v>
      </c>
      <c r="J62" s="63">
        <f>'Local multi year dist'!AB62</f>
        <v>667071.8564346038</v>
      </c>
      <c r="K62" s="63">
        <f>'Local multi year dist'!AC62</f>
        <v>624574.65648015356</v>
      </c>
      <c r="L62" s="63">
        <f>'Local multi year dist'!AD62</f>
        <v>579609.10541211045</v>
      </c>
      <c r="M62" s="63">
        <f>'Local multi year dist'!AE62</f>
        <v>532849.15580020647</v>
      </c>
      <c r="N62" s="63">
        <f>'Local multi year dist'!AF62</f>
        <v>406641.78303025698</v>
      </c>
      <c r="O62" s="63">
        <f>'Local multi year dist'!AG62</f>
        <v>406641.78303025698</v>
      </c>
      <c r="P62" s="63">
        <f>'Local multi year dist'!AH62</f>
        <v>406641.78303025698</v>
      </c>
      <c r="Q62" s="63">
        <f>'Local multi year dist'!AI62</f>
        <v>337860.3113211809</v>
      </c>
      <c r="R62" s="63">
        <f>'Local multi year dist'!AJ62</f>
        <v>337860.3113211809</v>
      </c>
      <c r="S62" s="63">
        <f>'Local multi year dist'!AK62</f>
        <v>236541.79763122593</v>
      </c>
      <c r="T62" s="63"/>
      <c r="U62" s="63">
        <f>'Local multi year dist'!AM62</f>
        <v>0</v>
      </c>
      <c r="V62" s="63">
        <f>'Local multi year dist'!AN62</f>
        <v>416654.7239096241</v>
      </c>
      <c r="W62" s="63">
        <f>'Local multi year dist'!AO62</f>
        <v>482299.27821005916</v>
      </c>
      <c r="X62" s="63">
        <f>'Local multi year dist'!AP62</f>
        <v>187814.17930028727</v>
      </c>
      <c r="Y62" s="63">
        <f>'Local multi year dist'!AQ62</f>
        <v>206061.80151913804</v>
      </c>
      <c r="Z62" s="63">
        <f>'Local multi year dist'!AR62</f>
        <v>219528.38393955884</v>
      </c>
      <c r="AA62" s="63">
        <f>'Local multi year dist'!AS62</f>
        <v>165224.8244051043</v>
      </c>
      <c r="AB62" s="63">
        <f>'Local multi year dist'!AT62</f>
        <v>234979.06070268553</v>
      </c>
      <c r="AC62" s="63">
        <f>'Local multi year dist'!AU62</f>
        <v>236389.36028048696</v>
      </c>
      <c r="AD62" s="63">
        <f>'Local multi year dist'!AV62</f>
        <v>219846.65544819503</v>
      </c>
      <c r="AE62" s="63">
        <f>'Local multi year dist'!AW62</f>
        <v>203364.08687279138</v>
      </c>
      <c r="AF62" s="63">
        <f>'Local multi year dist'!AX62</f>
        <v>186218.77201509324</v>
      </c>
      <c r="AG62" s="63">
        <f>'Local multi year dist'!AY62</f>
        <v>145386.97494246255</v>
      </c>
      <c r="AH62" s="63">
        <f>'Local multi year dist'!AZ62</f>
        <v>145386.97494246255</v>
      </c>
      <c r="AI62" s="63">
        <f>'Local multi year dist'!BA62</f>
        <v>145386.97494246255</v>
      </c>
      <c r="AJ62" s="63">
        <f>'Local multi year dist'!BB62</f>
        <v>120167.10198246798</v>
      </c>
      <c r="AK62" s="63">
        <f>'Local multi year dist'!BC62</f>
        <v>120167.10198246798</v>
      </c>
      <c r="AL62" s="63">
        <f>'Local multi year dist'!BD62</f>
        <v>86731.99246478283</v>
      </c>
      <c r="AN62" s="63">
        <f>'Local multi year dist'!BF62</f>
        <v>0</v>
      </c>
      <c r="AO62" s="63">
        <f>'Local multi year dist'!BG62</f>
        <v>104163.68097740602</v>
      </c>
      <c r="AP62" s="63">
        <f>'Local multi year dist'!BH62</f>
        <v>120574.81955251479</v>
      </c>
      <c r="AQ62" s="63">
        <f>'Local multi year dist'!BI62</f>
        <v>46953.544825071818</v>
      </c>
      <c r="AR62" s="63">
        <f>'Local multi year dist'!BJ62</f>
        <v>51515.45037978451</v>
      </c>
      <c r="AS62" s="63">
        <f>'Local multi year dist'!BK62</f>
        <v>54882.095984889711</v>
      </c>
      <c r="AT62" s="63">
        <f>'Local multi year dist'!BL62</f>
        <v>41306.206101276075</v>
      </c>
      <c r="AU62" s="63">
        <f>'Local multi year dist'!BM62</f>
        <v>58744.765175671382</v>
      </c>
      <c r="AV62" s="63">
        <f>'Local multi year dist'!BN62</f>
        <v>59097.34007012174</v>
      </c>
      <c r="AW62" s="63">
        <f>'Local multi year dist'!BO62</f>
        <v>54961.663862048757</v>
      </c>
      <c r="AX62" s="63">
        <f>'Local multi year dist'!BP62</f>
        <v>50841.021718197844</v>
      </c>
      <c r="AY62" s="63">
        <f>'Local multi year dist'!BQ62</f>
        <v>46554.693003773311</v>
      </c>
      <c r="AZ62" s="63">
        <f>'Local multi year dist'!BR62</f>
        <v>36346.743735615637</v>
      </c>
      <c r="BA62" s="63">
        <f>'Local multi year dist'!BS62</f>
        <v>36346.743735615637</v>
      </c>
      <c r="BB62" s="63">
        <f>'Local multi year dist'!BT62</f>
        <v>36346.743735615637</v>
      </c>
      <c r="BC62" s="63">
        <f>'Local multi year dist'!BU62</f>
        <v>30041.775495616996</v>
      </c>
      <c r="BD62" s="63">
        <f>'Local multi year dist'!BV62</f>
        <v>30041.775495616996</v>
      </c>
      <c r="BE62" s="63">
        <f>'Local multi year dist'!BW62</f>
        <v>21682.998116195708</v>
      </c>
      <c r="BF62" s="63"/>
      <c r="BG62" s="63"/>
      <c r="BH62" s="63"/>
      <c r="BI62" s="63"/>
      <c r="BJ62" s="63"/>
      <c r="BK62" s="63"/>
      <c r="BL62" s="63"/>
      <c r="BM62" s="63"/>
      <c r="BN62" s="63"/>
      <c r="BO62" s="63"/>
      <c r="BP62" s="63"/>
      <c r="BQ62" s="63"/>
    </row>
    <row r="63" spans="1:69" x14ac:dyDescent="0.25">
      <c r="A63" t="str">
        <f>'Local multi year dist'!S63</f>
        <v>Henry County</v>
      </c>
      <c r="B63" s="63">
        <f>'Local multi year dist'!T63</f>
        <v>49609.468146245876</v>
      </c>
      <c r="C63" s="63">
        <f>'Local multi year dist'!U63</f>
        <v>314054.97992753191</v>
      </c>
      <c r="D63" s="63">
        <f>'Local multi year dist'!V63</f>
        <v>387310.15058671182</v>
      </c>
      <c r="E63" s="63">
        <f>'Local multi year dist'!W63</f>
        <v>148532.58532236467</v>
      </c>
      <c r="F63" s="63">
        <f>'Local multi year dist'!X63</f>
        <v>159607.86163992013</v>
      </c>
      <c r="G63" s="63">
        <f>'Local multi year dist'!Y63</f>
        <v>169625.0743421416</v>
      </c>
      <c r="H63" s="63">
        <f>'Local multi year dist'!Z63</f>
        <v>129230.98701086025</v>
      </c>
      <c r="I63" s="63">
        <f>'Local multi year dist'!AA63</f>
        <v>181118.16967231326</v>
      </c>
      <c r="J63" s="63">
        <f>'Local multi year dist'!AB63</f>
        <v>181942.24566291453</v>
      </c>
      <c r="K63" s="63">
        <f>'Local multi year dist'!AC63</f>
        <v>170351.23650923034</v>
      </c>
      <c r="L63" s="63">
        <f>'Local multi year dist'!AD63</f>
        <v>158086.99052152352</v>
      </c>
      <c r="M63" s="63">
        <f>'Local multi year dist'!AE63</f>
        <v>145333.32664347236</v>
      </c>
      <c r="N63" s="63">
        <f>'Local multi year dist'!AF63</f>
        <v>110910.56903575084</v>
      </c>
      <c r="O63" s="63">
        <f>'Local multi year dist'!AG63</f>
        <v>110910.56903575084</v>
      </c>
      <c r="P63" s="63">
        <f>'Local multi year dist'!AH63</f>
        <v>110910.56903575084</v>
      </c>
      <c r="Q63" s="63">
        <f>'Local multi year dist'!AI63</f>
        <v>92150.58793021254</v>
      </c>
      <c r="R63" s="63">
        <f>'Local multi year dist'!AJ63</f>
        <v>92150.58793021254</v>
      </c>
      <c r="S63" s="63">
        <f>'Local multi year dist'!AK63</f>
        <v>64516.206820946936</v>
      </c>
      <c r="T63" s="63"/>
      <c r="U63" s="63">
        <f>'Local multi year dist'!AM63</f>
        <v>0</v>
      </c>
      <c r="V63" s="63">
        <f>'Local multi year dist'!AN63</f>
        <v>113641.57459640988</v>
      </c>
      <c r="W63" s="63">
        <f>'Local multi year dist'!AO63</f>
        <v>131545.96901772238</v>
      </c>
      <c r="X63" s="63">
        <f>'Local multi year dist'!AP63</f>
        <v>51225.866028694494</v>
      </c>
      <c r="Y63" s="63">
        <f>'Local multi year dist'!AQ63</f>
        <v>56202.861134216051</v>
      </c>
      <c r="Z63" s="63">
        <f>'Local multi year dist'!AR63</f>
        <v>59875.839125030587</v>
      </c>
      <c r="AA63" s="63">
        <f>'Local multi year dist'!AS63</f>
        <v>45064.673770227419</v>
      </c>
      <c r="AB63" s="63">
        <f>'Local multi year dist'!AT63</f>
        <v>64089.974079426858</v>
      </c>
      <c r="AC63" s="63">
        <f>'Local multi year dist'!AU63</f>
        <v>64474.629899886895</v>
      </c>
      <c r="AD63" s="63">
        <f>'Local multi year dist'!AV63</f>
        <v>59962.646914106401</v>
      </c>
      <c r="AE63" s="63">
        <f>'Local multi year dist'!AW63</f>
        <v>55467.065947866198</v>
      </c>
      <c r="AF63" s="63">
        <f>'Local multi year dist'!AX63</f>
        <v>50790.722525914098</v>
      </c>
      <c r="AG63" s="63">
        <f>'Local multi year dist'!AY63</f>
        <v>39653.948005768907</v>
      </c>
      <c r="AH63" s="63">
        <f>'Local multi year dist'!AZ63</f>
        <v>39653.948005768907</v>
      </c>
      <c r="AI63" s="63">
        <f>'Local multi year dist'!BA63</f>
        <v>39653.948005768907</v>
      </c>
      <c r="AJ63" s="63">
        <f>'Local multi year dist'!BB63</f>
        <v>32775.288267071526</v>
      </c>
      <c r="AK63" s="63">
        <f>'Local multi year dist'!BC63</f>
        <v>32775.288267071526</v>
      </c>
      <c r="AL63" s="63">
        <f>'Local multi year dist'!BD63</f>
        <v>23655.942501013873</v>
      </c>
      <c r="AN63" s="63">
        <f>'Local multi year dist'!BF63</f>
        <v>0</v>
      </c>
      <c r="AO63" s="63">
        <f>'Local multi year dist'!BG63</f>
        <v>28410.393649102469</v>
      </c>
      <c r="AP63" s="63">
        <f>'Local multi year dist'!BH63</f>
        <v>32886.492254430595</v>
      </c>
      <c r="AQ63" s="63">
        <f>'Local multi year dist'!BI63</f>
        <v>12806.466507173624</v>
      </c>
      <c r="AR63" s="63">
        <f>'Local multi year dist'!BJ63</f>
        <v>14050.715283554013</v>
      </c>
      <c r="AS63" s="63">
        <f>'Local multi year dist'!BK63</f>
        <v>14968.959781257647</v>
      </c>
      <c r="AT63" s="63">
        <f>'Local multi year dist'!BL63</f>
        <v>11266.168442556855</v>
      </c>
      <c r="AU63" s="63">
        <f>'Local multi year dist'!BM63</f>
        <v>16022.493519856715</v>
      </c>
      <c r="AV63" s="63">
        <f>'Local multi year dist'!BN63</f>
        <v>16118.657474971724</v>
      </c>
      <c r="AW63" s="63">
        <f>'Local multi year dist'!BO63</f>
        <v>14990.6617285266</v>
      </c>
      <c r="AX63" s="63">
        <f>'Local multi year dist'!BP63</f>
        <v>13866.76648696655</v>
      </c>
      <c r="AY63" s="63">
        <f>'Local multi year dist'!BQ63</f>
        <v>12697.680631478524</v>
      </c>
      <c r="AZ63" s="63">
        <f>'Local multi year dist'!BR63</f>
        <v>9913.4870014422268</v>
      </c>
      <c r="BA63" s="63">
        <f>'Local multi year dist'!BS63</f>
        <v>9913.4870014422268</v>
      </c>
      <c r="BB63" s="63">
        <f>'Local multi year dist'!BT63</f>
        <v>9913.4870014422268</v>
      </c>
      <c r="BC63" s="63">
        <f>'Local multi year dist'!BU63</f>
        <v>8193.8220667678816</v>
      </c>
      <c r="BD63" s="63">
        <f>'Local multi year dist'!BV63</f>
        <v>8193.8220667678816</v>
      </c>
      <c r="BE63" s="63">
        <f>'Local multi year dist'!BW63</f>
        <v>5913.9856252534682</v>
      </c>
      <c r="BF63" s="63"/>
      <c r="BG63" s="63"/>
      <c r="BH63" s="63"/>
      <c r="BI63" s="63"/>
      <c r="BJ63" s="63"/>
      <c r="BK63" s="63"/>
      <c r="BL63" s="63"/>
      <c r="BM63" s="63"/>
      <c r="BN63" s="63"/>
      <c r="BO63" s="63"/>
      <c r="BP63" s="63"/>
      <c r="BQ63" s="63"/>
    </row>
    <row r="64" spans="1:69" x14ac:dyDescent="0.25">
      <c r="A64" t="str">
        <f>'Local multi year dist'!S64</f>
        <v>Highland County</v>
      </c>
      <c r="B64" s="63">
        <f>'Local multi year dist'!T64</f>
        <v>935.2604650521763</v>
      </c>
      <c r="C64" s="63">
        <f>'Local multi year dist'!U64</f>
        <v>5920.7086379780594</v>
      </c>
      <c r="D64" s="63">
        <f>'Local multi year dist'!V64</f>
        <v>7301.7487405691563</v>
      </c>
      <c r="E64" s="63">
        <f>'Local multi year dist'!W64</f>
        <v>2800.2044773888424</v>
      </c>
      <c r="F64" s="63">
        <f>'Local multi year dist'!X64</f>
        <v>3009.0006702607893</v>
      </c>
      <c r="G64" s="63">
        <f>'Local multi year dist'!Y64</f>
        <v>3197.8497621879151</v>
      </c>
      <c r="H64" s="63">
        <f>'Local multi year dist'!Z64</f>
        <v>2436.3218862703161</v>
      </c>
      <c r="I64" s="63">
        <f>'Local multi year dist'!AA64</f>
        <v>3414.522870871479</v>
      </c>
      <c r="J64" s="63">
        <f>'Local multi year dist'!AB64</f>
        <v>3430.0587297106836</v>
      </c>
      <c r="K64" s="63">
        <f>'Local multi year dist'!AC64</f>
        <v>3211.5397046822113</v>
      </c>
      <c r="L64" s="63">
        <f>'Local multi year dist'!AD64</f>
        <v>2980.3285098320007</v>
      </c>
      <c r="M64" s="63">
        <f>'Local multi year dist'!AE64</f>
        <v>2739.8905842621839</v>
      </c>
      <c r="N64" s="63">
        <f>'Local multi year dist'!AF64</f>
        <v>2090.9369572313685</v>
      </c>
      <c r="O64" s="63">
        <f>'Local multi year dist'!AG64</f>
        <v>2090.9369572313685</v>
      </c>
      <c r="P64" s="63">
        <f>'Local multi year dist'!AH64</f>
        <v>2090.9369572313685</v>
      </c>
      <c r="Q64" s="63">
        <f>'Local multi year dist'!AI64</f>
        <v>1737.265182290892</v>
      </c>
      <c r="R64" s="63">
        <f>'Local multi year dist'!AJ64</f>
        <v>1737.265182290892</v>
      </c>
      <c r="S64" s="63">
        <f>'Local multi year dist'!AK64</f>
        <v>1216.2891449850651</v>
      </c>
      <c r="T64" s="63"/>
      <c r="U64" s="63">
        <f>'Local multi year dist'!AM64</f>
        <v>0</v>
      </c>
      <c r="V64" s="63">
        <f>'Local multi year dist'!AN64</f>
        <v>2142.4231276372352</v>
      </c>
      <c r="W64" s="63">
        <f>'Local multi year dist'!AO64</f>
        <v>2479.9649896783726</v>
      </c>
      <c r="X64" s="63">
        <f>'Local multi year dist'!AP64</f>
        <v>965.7335398852241</v>
      </c>
      <c r="Y64" s="63">
        <f>'Local multi year dist'!AQ64</f>
        <v>1059.5621361368599</v>
      </c>
      <c r="Z64" s="63">
        <f>'Local multi year dist'!AR64</f>
        <v>1128.8068031768059</v>
      </c>
      <c r="AA64" s="63">
        <f>'Local multi year dist'!AS64</f>
        <v>849.57991534035295</v>
      </c>
      <c r="AB64" s="63">
        <f>'Local multi year dist'!AT64</f>
        <v>1208.2536096941128</v>
      </c>
      <c r="AC64" s="63">
        <f>'Local multi year dist'!AU64</f>
        <v>1215.5053177847528</v>
      </c>
      <c r="AD64" s="63">
        <f>'Local multi year dist'!AV64</f>
        <v>1130.4433434626617</v>
      </c>
      <c r="AE64" s="63">
        <f>'Local multi year dist'!AW64</f>
        <v>1045.6905875417397</v>
      </c>
      <c r="AF64" s="63">
        <f>'Local multi year dist'!AX64</f>
        <v>957.53001483280673</v>
      </c>
      <c r="AG64" s="63">
        <f>'Local multi year dist'!AY64</f>
        <v>747.57442961695472</v>
      </c>
      <c r="AH64" s="63">
        <f>'Local multi year dist'!AZ64</f>
        <v>747.57442961695472</v>
      </c>
      <c r="AI64" s="63">
        <f>'Local multi year dist'!BA64</f>
        <v>747.57442961695472</v>
      </c>
      <c r="AJ64" s="63">
        <f>'Local multi year dist'!BB64</f>
        <v>617.89477880544678</v>
      </c>
      <c r="AK64" s="63">
        <f>'Local multi year dist'!BC64</f>
        <v>617.89477880544678</v>
      </c>
      <c r="AL64" s="63">
        <f>'Local multi year dist'!BD64</f>
        <v>445.97268649452383</v>
      </c>
      <c r="AN64" s="63">
        <f>'Local multi year dist'!BF64</f>
        <v>0</v>
      </c>
      <c r="AO64" s="63">
        <f>'Local multi year dist'!BG64</f>
        <v>535.6057819093088</v>
      </c>
      <c r="AP64" s="63">
        <f>'Local multi year dist'!BH64</f>
        <v>619.99124741959315</v>
      </c>
      <c r="AQ64" s="63">
        <f>'Local multi year dist'!BI64</f>
        <v>241.43338497130603</v>
      </c>
      <c r="AR64" s="63">
        <f>'Local multi year dist'!BJ64</f>
        <v>264.89053403421497</v>
      </c>
      <c r="AS64" s="63">
        <f>'Local multi year dist'!BK64</f>
        <v>282.20170079420149</v>
      </c>
      <c r="AT64" s="63">
        <f>'Local multi year dist'!BL64</f>
        <v>212.39497883508824</v>
      </c>
      <c r="AU64" s="63">
        <f>'Local multi year dist'!BM64</f>
        <v>302.0634024235282</v>
      </c>
      <c r="AV64" s="63">
        <f>'Local multi year dist'!BN64</f>
        <v>303.87632944618821</v>
      </c>
      <c r="AW64" s="63">
        <f>'Local multi year dist'!BO64</f>
        <v>282.61083586566542</v>
      </c>
      <c r="AX64" s="63">
        <f>'Local multi year dist'!BP64</f>
        <v>261.42264688543492</v>
      </c>
      <c r="AY64" s="63">
        <f>'Local multi year dist'!BQ64</f>
        <v>239.38250370820168</v>
      </c>
      <c r="AZ64" s="63">
        <f>'Local multi year dist'!BR64</f>
        <v>186.89360740423868</v>
      </c>
      <c r="BA64" s="63">
        <f>'Local multi year dist'!BS64</f>
        <v>186.89360740423868</v>
      </c>
      <c r="BB64" s="63">
        <f>'Local multi year dist'!BT64</f>
        <v>186.89360740423868</v>
      </c>
      <c r="BC64" s="63">
        <f>'Local multi year dist'!BU64</f>
        <v>154.47369470136169</v>
      </c>
      <c r="BD64" s="63">
        <f>'Local multi year dist'!BV64</f>
        <v>154.47369470136169</v>
      </c>
      <c r="BE64" s="63">
        <f>'Local multi year dist'!BW64</f>
        <v>111.49317162363096</v>
      </c>
      <c r="BF64" s="63"/>
      <c r="BG64" s="63"/>
      <c r="BH64" s="63"/>
      <c r="BI64" s="63"/>
      <c r="BJ64" s="63"/>
      <c r="BK64" s="63"/>
      <c r="BL64" s="63"/>
      <c r="BM64" s="63"/>
      <c r="BN64" s="63"/>
      <c r="BO64" s="63"/>
      <c r="BP64" s="63"/>
      <c r="BQ64" s="63"/>
    </row>
    <row r="65" spans="1:69" x14ac:dyDescent="0.25">
      <c r="A65" t="str">
        <f>'Local multi year dist'!S65</f>
        <v>Hopewell City</v>
      </c>
      <c r="B65" s="63">
        <f>'Local multi year dist'!T65</f>
        <v>13988.243477302116</v>
      </c>
      <c r="C65" s="63">
        <f>'Local multi year dist'!U65</f>
        <v>88553.207454976204</v>
      </c>
      <c r="D65" s="63">
        <f>'Local multi year dist'!V65</f>
        <v>109208.76377199087</v>
      </c>
      <c r="E65" s="63">
        <f>'Local multi year dist'!W65</f>
        <v>41881.319140076594</v>
      </c>
      <c r="F65" s="63">
        <f>'Local multi year dist'!X65</f>
        <v>45004.183937813548</v>
      </c>
      <c r="G65" s="63">
        <f>'Local multi year dist'!Y65</f>
        <v>47828.709486636639</v>
      </c>
      <c r="H65" s="63">
        <f>'Local multi year dist'!Z65</f>
        <v>36438.901255521247</v>
      </c>
      <c r="I65" s="63">
        <f>'Local multi year dist'!AA65</f>
        <v>51069.385546947342</v>
      </c>
      <c r="J65" s="63">
        <f>'Local multi year dist'!AB65</f>
        <v>51301.747957411964</v>
      </c>
      <c r="K65" s="63">
        <f>'Local multi year dist'!AC65</f>
        <v>48033.463409160024</v>
      </c>
      <c r="L65" s="63">
        <f>'Local multi year dist'!AD65</f>
        <v>44575.348147052529</v>
      </c>
      <c r="M65" s="63">
        <f>'Local multi year dist'!AE65</f>
        <v>40979.233086356136</v>
      </c>
      <c r="N65" s="63">
        <f>'Local multi year dist'!AF65</f>
        <v>31273.144055982204</v>
      </c>
      <c r="O65" s="63">
        <f>'Local multi year dist'!AG65</f>
        <v>31273.144055982204</v>
      </c>
      <c r="P65" s="63">
        <f>'Local multi year dist'!AH65</f>
        <v>31273.144055982204</v>
      </c>
      <c r="Q65" s="63">
        <f>'Local multi year dist'!AI65</f>
        <v>25983.444465568125</v>
      </c>
      <c r="R65" s="63">
        <f>'Local multi year dist'!AJ65</f>
        <v>25983.444465568125</v>
      </c>
      <c r="S65" s="63">
        <f>'Local multi year dist'!AK65</f>
        <v>18191.455038037497</v>
      </c>
      <c r="T65" s="63"/>
      <c r="U65" s="63">
        <f>'Local multi year dist'!AM65</f>
        <v>0</v>
      </c>
      <c r="V65" s="63">
        <f>'Local multi year dist'!AN65</f>
        <v>32043.198082922128</v>
      </c>
      <c r="W65" s="63">
        <f>'Local multi year dist'!AO65</f>
        <v>37091.650280406961</v>
      </c>
      <c r="X65" s="63">
        <f>'Local multi year dist'!AP65</f>
        <v>14444.014683500744</v>
      </c>
      <c r="Y65" s="63">
        <f>'Local multi year dist'!AQ65</f>
        <v>15847.364123090427</v>
      </c>
      <c r="Z65" s="63">
        <f>'Local multi year dist'!AR65</f>
        <v>16883.023490992229</v>
      </c>
      <c r="AA65" s="63">
        <f>'Local multi year dist'!AS65</f>
        <v>12706.760472916583</v>
      </c>
      <c r="AB65" s="63">
        <f>'Local multi year dist'!AT65</f>
        <v>18071.271379772817</v>
      </c>
      <c r="AC65" s="63">
        <f>'Local multi year dist'!AU65</f>
        <v>18179.731709476306</v>
      </c>
      <c r="AD65" s="63">
        <f>'Local multi year dist'!AV65</f>
        <v>16907.50044135459</v>
      </c>
      <c r="AE65" s="63">
        <f>'Local multi year dist'!AW65</f>
        <v>15639.894004972108</v>
      </c>
      <c r="AF65" s="63">
        <f>'Local multi year dist'!AX65</f>
        <v>14321.318482716761</v>
      </c>
      <c r="AG65" s="63">
        <f>'Local multi year dist'!AY65</f>
        <v>11181.113208184019</v>
      </c>
      <c r="AH65" s="63">
        <f>'Local multi year dist'!AZ65</f>
        <v>11181.113208184019</v>
      </c>
      <c r="AI65" s="63">
        <f>'Local multi year dist'!BA65</f>
        <v>11181.113208184019</v>
      </c>
      <c r="AJ65" s="63">
        <f>'Local multi year dist'!BB65</f>
        <v>9241.5566916988573</v>
      </c>
      <c r="AK65" s="63">
        <f>'Local multi year dist'!BC65</f>
        <v>9241.5566916988573</v>
      </c>
      <c r="AL65" s="63">
        <f>'Local multi year dist'!BD65</f>
        <v>6670.2001806137478</v>
      </c>
      <c r="AN65" s="63">
        <f>'Local multi year dist'!BF65</f>
        <v>0</v>
      </c>
      <c r="AO65" s="63">
        <f>'Local multi year dist'!BG65</f>
        <v>8010.7995207305321</v>
      </c>
      <c r="AP65" s="63">
        <f>'Local multi year dist'!BH65</f>
        <v>9272.9125701017401</v>
      </c>
      <c r="AQ65" s="63">
        <f>'Local multi year dist'!BI65</f>
        <v>3611.0036708751859</v>
      </c>
      <c r="AR65" s="63">
        <f>'Local multi year dist'!BJ65</f>
        <v>3961.8410307726067</v>
      </c>
      <c r="AS65" s="63">
        <f>'Local multi year dist'!BK65</f>
        <v>4220.7558727480573</v>
      </c>
      <c r="AT65" s="63">
        <f>'Local multi year dist'!BL65</f>
        <v>3176.6901182291458</v>
      </c>
      <c r="AU65" s="63">
        <f>'Local multi year dist'!BM65</f>
        <v>4517.8178449432044</v>
      </c>
      <c r="AV65" s="63">
        <f>'Local multi year dist'!BN65</f>
        <v>4544.9329273690764</v>
      </c>
      <c r="AW65" s="63">
        <f>'Local multi year dist'!BO65</f>
        <v>4226.8751103386476</v>
      </c>
      <c r="AX65" s="63">
        <f>'Local multi year dist'!BP65</f>
        <v>3909.9735012430269</v>
      </c>
      <c r="AY65" s="63">
        <f>'Local multi year dist'!BQ65</f>
        <v>3580.3296206791902</v>
      </c>
      <c r="AZ65" s="63">
        <f>'Local multi year dist'!BR65</f>
        <v>2795.2783020460047</v>
      </c>
      <c r="BA65" s="63">
        <f>'Local multi year dist'!BS65</f>
        <v>2795.2783020460047</v>
      </c>
      <c r="BB65" s="63">
        <f>'Local multi year dist'!BT65</f>
        <v>2795.2783020460047</v>
      </c>
      <c r="BC65" s="63">
        <f>'Local multi year dist'!BU65</f>
        <v>2310.3891729247143</v>
      </c>
      <c r="BD65" s="63">
        <f>'Local multi year dist'!BV65</f>
        <v>2310.3891729247143</v>
      </c>
      <c r="BE65" s="63">
        <f>'Local multi year dist'!BW65</f>
        <v>1667.5500451534369</v>
      </c>
      <c r="BF65" s="63"/>
      <c r="BG65" s="63"/>
      <c r="BH65" s="63"/>
      <c r="BI65" s="63"/>
      <c r="BJ65" s="63"/>
      <c r="BK65" s="63"/>
      <c r="BL65" s="63"/>
      <c r="BM65" s="63"/>
      <c r="BN65" s="63"/>
      <c r="BO65" s="63"/>
      <c r="BP65" s="63"/>
      <c r="BQ65" s="63"/>
    </row>
    <row r="66" spans="1:69" x14ac:dyDescent="0.25">
      <c r="A66" t="str">
        <f>'Local multi year dist'!S66</f>
        <v>Isle of Wight County</v>
      </c>
      <c r="B66" s="63">
        <f>'Local multi year dist'!T66</f>
        <v>14476.205459068469</v>
      </c>
      <c r="C66" s="63">
        <f>'Local multi year dist'!U66</f>
        <v>91642.272831312584</v>
      </c>
      <c r="D66" s="63">
        <f>'Local multi year dist'!V66</f>
        <v>113018.37181054869</v>
      </c>
      <c r="E66" s="63">
        <f>'Local multi year dist'!W66</f>
        <v>43342.29538914904</v>
      </c>
      <c r="F66" s="63">
        <f>'Local multi year dist'!X66</f>
        <v>46574.097330993092</v>
      </c>
      <c r="G66" s="63">
        <f>'Local multi year dist'!Y66</f>
        <v>49497.152840821647</v>
      </c>
      <c r="H66" s="63">
        <f>'Local multi year dist'!Z66</f>
        <v>37710.025717923156</v>
      </c>
      <c r="I66" s="63">
        <f>'Local multi year dist'!AA66</f>
        <v>52850.87574044551</v>
      </c>
      <c r="J66" s="63">
        <f>'Local multi year dist'!AB66</f>
        <v>53091.343816391454</v>
      </c>
      <c r="K66" s="63">
        <f>'Local multi year dist'!AC66</f>
        <v>49709.049342037702</v>
      </c>
      <c r="L66" s="63">
        <f>'Local multi year dist'!AD66</f>
        <v>46130.302152182274</v>
      </c>
      <c r="M66" s="63">
        <f>'Local multi year dist'!AE66</f>
        <v>42408.741217275543</v>
      </c>
      <c r="N66" s="63">
        <f>'Local multi year dist'!AF66</f>
        <v>32364.067685842052</v>
      </c>
      <c r="O66" s="63">
        <f>'Local multi year dist'!AG66</f>
        <v>32364.067685842052</v>
      </c>
      <c r="P66" s="63">
        <f>'Local multi year dist'!AH66</f>
        <v>32364.067685842052</v>
      </c>
      <c r="Q66" s="63">
        <f>'Local multi year dist'!AI66</f>
        <v>26889.8436911112</v>
      </c>
      <c r="R66" s="63">
        <f>'Local multi year dist'!AJ66</f>
        <v>26889.8436911112</v>
      </c>
      <c r="S66" s="63">
        <f>'Local multi year dist'!AK66</f>
        <v>18826.04067889927</v>
      </c>
      <c r="T66" s="63"/>
      <c r="U66" s="63">
        <f>'Local multi year dist'!AM66</f>
        <v>0</v>
      </c>
      <c r="V66" s="63">
        <f>'Local multi year dist'!AN66</f>
        <v>33160.98406255895</v>
      </c>
      <c r="W66" s="63">
        <f>'Local multi year dist'!AO66</f>
        <v>38385.545057630465</v>
      </c>
      <c r="X66" s="63">
        <f>'Local multi year dist'!AP66</f>
        <v>14947.875660832166</v>
      </c>
      <c r="Y66" s="63">
        <f>'Local multi year dist'!AQ66</f>
        <v>16400.179150640095</v>
      </c>
      <c r="Z66" s="63">
        <f>'Local multi year dist'!AR66</f>
        <v>17471.966170910564</v>
      </c>
      <c r="AA66" s="63">
        <f>'Local multi year dist'!AS66</f>
        <v>13150.019559181115</v>
      </c>
      <c r="AB66" s="63">
        <f>'Local multi year dist'!AT66</f>
        <v>18701.664567439315</v>
      </c>
      <c r="AC66" s="63">
        <f>'Local multi year dist'!AU66</f>
        <v>18813.908397016177</v>
      </c>
      <c r="AD66" s="63">
        <f>'Local multi year dist'!AV66</f>
        <v>17497.296968378589</v>
      </c>
      <c r="AE66" s="63">
        <f>'Local multi year dist'!AW66</f>
        <v>16185.471702819972</v>
      </c>
      <c r="AF66" s="63">
        <f>'Local multi year dist'!AX66</f>
        <v>14820.899360020836</v>
      </c>
      <c r="AG66" s="63">
        <f>'Local multi year dist'!AY66</f>
        <v>11571.152041027648</v>
      </c>
      <c r="AH66" s="63">
        <f>'Local multi year dist'!AZ66</f>
        <v>11571.152041027648</v>
      </c>
      <c r="AI66" s="63">
        <f>'Local multi year dist'!BA66</f>
        <v>11571.152041027648</v>
      </c>
      <c r="AJ66" s="63">
        <f>'Local multi year dist'!BB66</f>
        <v>9563.9365762930029</v>
      </c>
      <c r="AK66" s="63">
        <f>'Local multi year dist'!BC66</f>
        <v>9563.9365762930029</v>
      </c>
      <c r="AL66" s="63">
        <f>'Local multi year dist'!BD66</f>
        <v>6902.881582263065</v>
      </c>
      <c r="AN66" s="63">
        <f>'Local multi year dist'!BF66</f>
        <v>0</v>
      </c>
      <c r="AO66" s="63">
        <f>'Local multi year dist'!BG66</f>
        <v>8290.2460156397374</v>
      </c>
      <c r="AP66" s="63">
        <f>'Local multi year dist'!BH66</f>
        <v>9596.3862644076162</v>
      </c>
      <c r="AQ66" s="63">
        <f>'Local multi year dist'!BI66</f>
        <v>3736.9689152080414</v>
      </c>
      <c r="AR66" s="63">
        <f>'Local multi year dist'!BJ66</f>
        <v>4100.0447876600238</v>
      </c>
      <c r="AS66" s="63">
        <f>'Local multi year dist'!BK66</f>
        <v>4367.991542727641</v>
      </c>
      <c r="AT66" s="63">
        <f>'Local multi year dist'!BL66</f>
        <v>3287.5048897952788</v>
      </c>
      <c r="AU66" s="63">
        <f>'Local multi year dist'!BM66</f>
        <v>4675.4161418598287</v>
      </c>
      <c r="AV66" s="63">
        <f>'Local multi year dist'!BN66</f>
        <v>4703.4770992540443</v>
      </c>
      <c r="AW66" s="63">
        <f>'Local multi year dist'!BO66</f>
        <v>4374.3242420946472</v>
      </c>
      <c r="AX66" s="63">
        <f>'Local multi year dist'!BP66</f>
        <v>4046.367925704993</v>
      </c>
      <c r="AY66" s="63">
        <f>'Local multi year dist'!BQ66</f>
        <v>3705.224840005209</v>
      </c>
      <c r="AZ66" s="63">
        <f>'Local multi year dist'!BR66</f>
        <v>2892.788010256912</v>
      </c>
      <c r="BA66" s="63">
        <f>'Local multi year dist'!BS66</f>
        <v>2892.788010256912</v>
      </c>
      <c r="BB66" s="63">
        <f>'Local multi year dist'!BT66</f>
        <v>2892.788010256912</v>
      </c>
      <c r="BC66" s="63">
        <f>'Local multi year dist'!BU66</f>
        <v>2390.9841440732507</v>
      </c>
      <c r="BD66" s="63">
        <f>'Local multi year dist'!BV66</f>
        <v>2390.9841440732507</v>
      </c>
      <c r="BE66" s="63">
        <f>'Local multi year dist'!BW66</f>
        <v>1725.7203955657662</v>
      </c>
      <c r="BF66" s="63"/>
      <c r="BG66" s="63"/>
      <c r="BH66" s="63"/>
      <c r="BI66" s="63"/>
      <c r="BJ66" s="63"/>
      <c r="BK66" s="63"/>
      <c r="BL66" s="63"/>
      <c r="BM66" s="63"/>
      <c r="BN66" s="63"/>
      <c r="BO66" s="63"/>
      <c r="BP66" s="63"/>
      <c r="BQ66" s="63"/>
    </row>
    <row r="67" spans="1:69" x14ac:dyDescent="0.25">
      <c r="A67" t="str">
        <f>'Local multi year dist'!S67</f>
        <v>James City County</v>
      </c>
      <c r="B67" s="63">
        <f>'Local multi year dist'!T67</f>
        <v>24886.061070084037</v>
      </c>
      <c r="C67" s="63">
        <f>'Local multi year dist'!U67</f>
        <v>157542.33419315558</v>
      </c>
      <c r="D67" s="63">
        <f>'Local multi year dist'!V67</f>
        <v>194290.00996644917</v>
      </c>
      <c r="E67" s="63">
        <f>'Local multi year dist'!W67</f>
        <v>74509.788702694539</v>
      </c>
      <c r="F67" s="63">
        <f>'Local multi year dist'!X67</f>
        <v>80065.583052156784</v>
      </c>
      <c r="G67" s="63">
        <f>'Local multi year dist'!Y67</f>
        <v>85090.611063435092</v>
      </c>
      <c r="H67" s="63">
        <f>'Local multi year dist'!Z67</f>
        <v>64827.347582497212</v>
      </c>
      <c r="I67" s="63">
        <f>'Local multi year dist'!AA67</f>
        <v>90855.999868406463</v>
      </c>
      <c r="J67" s="63">
        <f>'Local multi year dist'!AB67</f>
        <v>91269.38880795399</v>
      </c>
      <c r="K67" s="63">
        <f>'Local multi year dist'!AC67</f>
        <v>85454.882576761578</v>
      </c>
      <c r="L67" s="63">
        <f>'Local multi year dist'!AD67</f>
        <v>79302.654261616844</v>
      </c>
      <c r="M67" s="63">
        <f>'Local multi year dist'!AE67</f>
        <v>72904.91467688953</v>
      </c>
      <c r="N67" s="63">
        <f>'Local multi year dist'!AF67</f>
        <v>55637.105122852154</v>
      </c>
      <c r="O67" s="63">
        <f>'Local multi year dist'!AG67</f>
        <v>55637.105122852154</v>
      </c>
      <c r="P67" s="63">
        <f>'Local multi year dist'!AH67</f>
        <v>55637.105122852154</v>
      </c>
      <c r="Q67" s="63">
        <f>'Local multi year dist'!AI67</f>
        <v>46226.360502696858</v>
      </c>
      <c r="R67" s="63">
        <f>'Local multi year dist'!AJ67</f>
        <v>46226.360502696858</v>
      </c>
      <c r="S67" s="63">
        <f>'Local multi year dist'!AK67</f>
        <v>32363.867683950481</v>
      </c>
      <c r="T67" s="63"/>
      <c r="U67" s="63">
        <f>'Local multi year dist'!AM67</f>
        <v>0</v>
      </c>
      <c r="V67" s="63">
        <f>'Local multi year dist'!AN67</f>
        <v>57007.084961477834</v>
      </c>
      <c r="W67" s="63">
        <f>'Local multi year dist'!AO67</f>
        <v>65988.633638398547</v>
      </c>
      <c r="X67" s="63">
        <f>'Local multi year dist'!AP67</f>
        <v>25696.909843902526</v>
      </c>
      <c r="Y67" s="63">
        <f>'Local multi year dist'!AQ67</f>
        <v>28193.566405033016</v>
      </c>
      <c r="Z67" s="63">
        <f>'Local multi year dist'!AR67</f>
        <v>30036.076675835062</v>
      </c>
      <c r="AA67" s="63">
        <f>'Local multi year dist'!AS67</f>
        <v>22606.213399491167</v>
      </c>
      <c r="AB67" s="63">
        <f>'Local multi year dist'!AT67</f>
        <v>32150.052570991229</v>
      </c>
      <c r="AC67" s="63">
        <f>'Local multi year dist'!AU67</f>
        <v>32343.011064533479</v>
      </c>
      <c r="AD67" s="63">
        <f>'Local multi year dist'!AV67</f>
        <v>30079.622878223916</v>
      </c>
      <c r="AE67" s="63">
        <f>'Local multi year dist'!AW67</f>
        <v>27824.462590241121</v>
      </c>
      <c r="AF67" s="63">
        <f>'Local multi year dist'!AX67</f>
        <v>25478.624742507767</v>
      </c>
      <c r="AG67" s="63">
        <f>'Local multi year dist'!AY67</f>
        <v>19891.980475025091</v>
      </c>
      <c r="AH67" s="63">
        <f>'Local multi year dist'!AZ67</f>
        <v>19891.980475025091</v>
      </c>
      <c r="AI67" s="63">
        <f>'Local multi year dist'!BA67</f>
        <v>19891.980475025091</v>
      </c>
      <c r="AJ67" s="63">
        <f>'Local multi year dist'!BB67</f>
        <v>16441.374114301481</v>
      </c>
      <c r="AK67" s="63">
        <f>'Local multi year dist'!BC67</f>
        <v>16441.374114301481</v>
      </c>
      <c r="AL67" s="63">
        <f>'Local multi year dist'!BD67</f>
        <v>11866.751484115175</v>
      </c>
      <c r="AN67" s="63">
        <f>'Local multi year dist'!BF67</f>
        <v>0</v>
      </c>
      <c r="AO67" s="63">
        <f>'Local multi year dist'!BG67</f>
        <v>14251.771240369459</v>
      </c>
      <c r="AP67" s="63">
        <f>'Local multi year dist'!BH67</f>
        <v>16497.158409599637</v>
      </c>
      <c r="AQ67" s="63">
        <f>'Local multi year dist'!BI67</f>
        <v>6424.2274609756314</v>
      </c>
      <c r="AR67" s="63">
        <f>'Local multi year dist'!BJ67</f>
        <v>7048.391601258254</v>
      </c>
      <c r="AS67" s="63">
        <f>'Local multi year dist'!BK67</f>
        <v>7509.0191689587655</v>
      </c>
      <c r="AT67" s="63">
        <f>'Local multi year dist'!BL67</f>
        <v>5651.5533498727918</v>
      </c>
      <c r="AU67" s="63">
        <f>'Local multi year dist'!BM67</f>
        <v>8037.5131427478073</v>
      </c>
      <c r="AV67" s="63">
        <f>'Local multi year dist'!BN67</f>
        <v>8085.7527661333697</v>
      </c>
      <c r="AW67" s="63">
        <f>'Local multi year dist'!BO67</f>
        <v>7519.905719555979</v>
      </c>
      <c r="AX67" s="63">
        <f>'Local multi year dist'!BP67</f>
        <v>6956.1156475602802</v>
      </c>
      <c r="AY67" s="63">
        <f>'Local multi year dist'!BQ67</f>
        <v>6369.6561856269418</v>
      </c>
      <c r="AZ67" s="63">
        <f>'Local multi year dist'!BR67</f>
        <v>4972.9951187562729</v>
      </c>
      <c r="BA67" s="63">
        <f>'Local multi year dist'!BS67</f>
        <v>4972.9951187562729</v>
      </c>
      <c r="BB67" s="63">
        <f>'Local multi year dist'!BT67</f>
        <v>4972.9951187562729</v>
      </c>
      <c r="BC67" s="63">
        <f>'Local multi year dist'!BU67</f>
        <v>4110.3435285753703</v>
      </c>
      <c r="BD67" s="63">
        <f>'Local multi year dist'!BV67</f>
        <v>4110.3435285753703</v>
      </c>
      <c r="BE67" s="63">
        <f>'Local multi year dist'!BW67</f>
        <v>2966.6878710287938</v>
      </c>
      <c r="BF67" s="63"/>
      <c r="BG67" s="63"/>
      <c r="BH67" s="63"/>
      <c r="BI67" s="63"/>
      <c r="BJ67" s="63"/>
      <c r="BK67" s="63"/>
      <c r="BL67" s="63"/>
      <c r="BM67" s="63"/>
      <c r="BN67" s="63"/>
      <c r="BO67" s="63"/>
      <c r="BP67" s="63"/>
      <c r="BQ67" s="63"/>
    </row>
    <row r="68" spans="1:69" x14ac:dyDescent="0.25">
      <c r="A68" t="str">
        <f>'Local multi year dist'!S68</f>
        <v>King George County</v>
      </c>
      <c r="B68" s="63">
        <f>'Local multi year dist'!T68</f>
        <v>12443.030535041999</v>
      </c>
      <c r="C68" s="63">
        <f>'Local multi year dist'!U68</f>
        <v>78771.167096577658</v>
      </c>
      <c r="D68" s="63">
        <f>'Local multi year dist'!V68</f>
        <v>97145.004983224426</v>
      </c>
      <c r="E68" s="63">
        <f>'Local multi year dist'!W68</f>
        <v>37254.894351347204</v>
      </c>
      <c r="F68" s="63">
        <f>'Local multi year dist'!X68</f>
        <v>40032.791526078327</v>
      </c>
      <c r="G68" s="63">
        <f>'Local multi year dist'!Y68</f>
        <v>42545.305531717473</v>
      </c>
      <c r="H68" s="63">
        <f>'Local multi year dist'!Z68</f>
        <v>32413.673791248551</v>
      </c>
      <c r="I68" s="63">
        <f>'Local multi year dist'!AA68</f>
        <v>45427.999934203159</v>
      </c>
      <c r="J68" s="63">
        <f>'Local multi year dist'!AB68</f>
        <v>45634.694403976915</v>
      </c>
      <c r="K68" s="63">
        <f>'Local multi year dist'!AC68</f>
        <v>42727.441288380716</v>
      </c>
      <c r="L68" s="63">
        <f>'Local multi year dist'!AD68</f>
        <v>39651.327130808357</v>
      </c>
      <c r="M68" s="63">
        <f>'Local multi year dist'!AE68</f>
        <v>36452.457338444699</v>
      </c>
      <c r="N68" s="63">
        <f>'Local multi year dist'!AF68</f>
        <v>27818.55256142603</v>
      </c>
      <c r="O68" s="63">
        <f>'Local multi year dist'!AG68</f>
        <v>27818.55256142603</v>
      </c>
      <c r="P68" s="63">
        <f>'Local multi year dist'!AH68</f>
        <v>27818.55256142603</v>
      </c>
      <c r="Q68" s="63">
        <f>'Local multi year dist'!AI68</f>
        <v>23113.180251348389</v>
      </c>
      <c r="R68" s="63">
        <f>'Local multi year dist'!AJ68</f>
        <v>23113.180251348389</v>
      </c>
      <c r="S68" s="63">
        <f>'Local multi year dist'!AK68</f>
        <v>16181.933841975213</v>
      </c>
      <c r="T68" s="63"/>
      <c r="U68" s="63">
        <f>'Local multi year dist'!AM68</f>
        <v>0</v>
      </c>
      <c r="V68" s="63">
        <f>'Local multi year dist'!AN68</f>
        <v>28503.542480738866</v>
      </c>
      <c r="W68" s="63">
        <f>'Local multi year dist'!AO68</f>
        <v>32994.316819199215</v>
      </c>
      <c r="X68" s="63">
        <f>'Local multi year dist'!AP68</f>
        <v>12848.454921951241</v>
      </c>
      <c r="Y68" s="63">
        <f>'Local multi year dist'!AQ68</f>
        <v>14096.783202516484</v>
      </c>
      <c r="Z68" s="63">
        <f>'Local multi year dist'!AR68</f>
        <v>15018.038337917505</v>
      </c>
      <c r="AA68" s="63">
        <f>'Local multi year dist'!AS68</f>
        <v>11303.106699745564</v>
      </c>
      <c r="AB68" s="63">
        <f>'Local multi year dist'!AT68</f>
        <v>16075.026285495587</v>
      </c>
      <c r="AC68" s="63">
        <f>'Local multi year dist'!AU68</f>
        <v>16171.505532266712</v>
      </c>
      <c r="AD68" s="63">
        <f>'Local multi year dist'!AV68</f>
        <v>15039.811439111932</v>
      </c>
      <c r="AE68" s="63">
        <f>'Local multi year dist'!AW68</f>
        <v>13912.231295120537</v>
      </c>
      <c r="AF68" s="63">
        <f>'Local multi year dist'!AX68</f>
        <v>12739.312371253862</v>
      </c>
      <c r="AG68" s="63">
        <f>'Local multi year dist'!AY68</f>
        <v>9945.9902375125275</v>
      </c>
      <c r="AH68" s="63">
        <f>'Local multi year dist'!AZ68</f>
        <v>9945.9902375125275</v>
      </c>
      <c r="AI68" s="63">
        <f>'Local multi year dist'!BA68</f>
        <v>9945.9902375125275</v>
      </c>
      <c r="AJ68" s="63">
        <f>'Local multi year dist'!BB68</f>
        <v>8220.6870571507261</v>
      </c>
      <c r="AK68" s="63">
        <f>'Local multi year dist'!BC68</f>
        <v>8220.6870571507261</v>
      </c>
      <c r="AL68" s="63">
        <f>'Local multi year dist'!BD68</f>
        <v>5933.3757420575776</v>
      </c>
      <c r="AN68" s="63">
        <f>'Local multi year dist'!BF68</f>
        <v>0</v>
      </c>
      <c r="AO68" s="63">
        <f>'Local multi year dist'!BG68</f>
        <v>7125.8856201847166</v>
      </c>
      <c r="AP68" s="63">
        <f>'Local multi year dist'!BH68</f>
        <v>8248.5792047998038</v>
      </c>
      <c r="AQ68" s="63">
        <f>'Local multi year dist'!BI68</f>
        <v>3212.1137304878102</v>
      </c>
      <c r="AR68" s="63">
        <f>'Local multi year dist'!BJ68</f>
        <v>3524.1958006291211</v>
      </c>
      <c r="AS68" s="63">
        <f>'Local multi year dist'!BK68</f>
        <v>3754.5095844793764</v>
      </c>
      <c r="AT68" s="63">
        <f>'Local multi year dist'!BL68</f>
        <v>2825.7766749363909</v>
      </c>
      <c r="AU68" s="63">
        <f>'Local multi year dist'!BM68</f>
        <v>4018.7565713738968</v>
      </c>
      <c r="AV68" s="63">
        <f>'Local multi year dist'!BN68</f>
        <v>4042.876383066678</v>
      </c>
      <c r="AW68" s="63">
        <f>'Local multi year dist'!BO68</f>
        <v>3759.9528597779831</v>
      </c>
      <c r="AX68" s="63">
        <f>'Local multi year dist'!BP68</f>
        <v>3478.0578237801342</v>
      </c>
      <c r="AY68" s="63">
        <f>'Local multi year dist'!BQ68</f>
        <v>3184.8280928134654</v>
      </c>
      <c r="AZ68" s="63">
        <f>'Local multi year dist'!BR68</f>
        <v>2486.4975593781319</v>
      </c>
      <c r="BA68" s="63">
        <f>'Local multi year dist'!BS68</f>
        <v>2486.4975593781319</v>
      </c>
      <c r="BB68" s="63">
        <f>'Local multi year dist'!BT68</f>
        <v>2486.4975593781319</v>
      </c>
      <c r="BC68" s="63">
        <f>'Local multi year dist'!BU68</f>
        <v>2055.1717642876815</v>
      </c>
      <c r="BD68" s="63">
        <f>'Local multi year dist'!BV68</f>
        <v>2055.1717642876815</v>
      </c>
      <c r="BE68" s="63">
        <f>'Local multi year dist'!BW68</f>
        <v>1483.3439355143944</v>
      </c>
      <c r="BF68" s="63"/>
      <c r="BG68" s="63"/>
      <c r="BH68" s="63"/>
      <c r="BI68" s="63"/>
      <c r="BJ68" s="63"/>
      <c r="BK68" s="63"/>
      <c r="BL68" s="63"/>
      <c r="BM68" s="63"/>
      <c r="BN68" s="63"/>
      <c r="BO68" s="63"/>
      <c r="BP68" s="63"/>
      <c r="BQ68" s="63"/>
    </row>
    <row r="69" spans="1:69" x14ac:dyDescent="0.25">
      <c r="A69" t="str">
        <f>'Local multi year dist'!S69</f>
        <v>King William County</v>
      </c>
      <c r="B69" s="63">
        <f>'Local multi year dist'!T69</f>
        <v>7238.1027295342346</v>
      </c>
      <c r="C69" s="63">
        <f>'Local multi year dist'!U69</f>
        <v>45821.136415656292</v>
      </c>
      <c r="D69" s="63">
        <f>'Local multi year dist'!V69</f>
        <v>56509.185905274346</v>
      </c>
      <c r="E69" s="63">
        <f>'Local multi year dist'!W69</f>
        <v>21671.14769457452</v>
      </c>
      <c r="F69" s="63">
        <f>'Local multi year dist'!X69</f>
        <v>23287.048665496546</v>
      </c>
      <c r="G69" s="63">
        <f>'Local multi year dist'!Y69</f>
        <v>24748.576420410824</v>
      </c>
      <c r="H69" s="63">
        <f>'Local multi year dist'!Z69</f>
        <v>18855.012858961578</v>
      </c>
      <c r="I69" s="63">
        <f>'Local multi year dist'!AA69</f>
        <v>26425.437870222755</v>
      </c>
      <c r="J69" s="63">
        <f>'Local multi year dist'!AB69</f>
        <v>26545.671908195727</v>
      </c>
      <c r="K69" s="63">
        <f>'Local multi year dist'!AC69</f>
        <v>24854.524671018851</v>
      </c>
      <c r="L69" s="63">
        <f>'Local multi year dist'!AD69</f>
        <v>23065.151076091137</v>
      </c>
      <c r="M69" s="63">
        <f>'Local multi year dist'!AE69</f>
        <v>21204.370608637772</v>
      </c>
      <c r="N69" s="63">
        <f>'Local multi year dist'!AF69</f>
        <v>16182.033842921026</v>
      </c>
      <c r="O69" s="63">
        <f>'Local multi year dist'!AG69</f>
        <v>16182.033842921026</v>
      </c>
      <c r="P69" s="63">
        <f>'Local multi year dist'!AH69</f>
        <v>16182.033842921026</v>
      </c>
      <c r="Q69" s="63">
        <f>'Local multi year dist'!AI69</f>
        <v>13444.9218455556</v>
      </c>
      <c r="R69" s="63">
        <f>'Local multi year dist'!AJ69</f>
        <v>13444.9218455556</v>
      </c>
      <c r="S69" s="63">
        <f>'Local multi year dist'!AK69</f>
        <v>9413.0203394496348</v>
      </c>
      <c r="T69" s="63"/>
      <c r="U69" s="63">
        <f>'Local multi year dist'!AM69</f>
        <v>0</v>
      </c>
      <c r="V69" s="63">
        <f>'Local multi year dist'!AN69</f>
        <v>16580.492031279475</v>
      </c>
      <c r="W69" s="63">
        <f>'Local multi year dist'!AO69</f>
        <v>19192.772528815232</v>
      </c>
      <c r="X69" s="63">
        <f>'Local multi year dist'!AP69</f>
        <v>7473.9378304160828</v>
      </c>
      <c r="Y69" s="63">
        <f>'Local multi year dist'!AQ69</f>
        <v>8200.0895753200475</v>
      </c>
      <c r="Z69" s="63">
        <f>'Local multi year dist'!AR69</f>
        <v>8735.983085455282</v>
      </c>
      <c r="AA69" s="63">
        <f>'Local multi year dist'!AS69</f>
        <v>6575.0097795905576</v>
      </c>
      <c r="AB69" s="63">
        <f>'Local multi year dist'!AT69</f>
        <v>9350.8322837196574</v>
      </c>
      <c r="AC69" s="63">
        <f>'Local multi year dist'!AU69</f>
        <v>9406.9541985080887</v>
      </c>
      <c r="AD69" s="63">
        <f>'Local multi year dist'!AV69</f>
        <v>8748.6484841892943</v>
      </c>
      <c r="AE69" s="63">
        <f>'Local multi year dist'!AW69</f>
        <v>8092.735851409986</v>
      </c>
      <c r="AF69" s="63">
        <f>'Local multi year dist'!AX69</f>
        <v>7410.449680010418</v>
      </c>
      <c r="AG69" s="63">
        <f>'Local multi year dist'!AY69</f>
        <v>5785.576020513824</v>
      </c>
      <c r="AH69" s="63">
        <f>'Local multi year dist'!AZ69</f>
        <v>5785.576020513824</v>
      </c>
      <c r="AI69" s="63">
        <f>'Local multi year dist'!BA69</f>
        <v>5785.576020513824</v>
      </c>
      <c r="AJ69" s="63">
        <f>'Local multi year dist'!BB69</f>
        <v>4781.9682881465014</v>
      </c>
      <c r="AK69" s="63">
        <f>'Local multi year dist'!BC69</f>
        <v>4781.9682881465014</v>
      </c>
      <c r="AL69" s="63">
        <f>'Local multi year dist'!BD69</f>
        <v>3451.4407911315325</v>
      </c>
      <c r="AN69" s="63">
        <f>'Local multi year dist'!BF69</f>
        <v>0</v>
      </c>
      <c r="AO69" s="63">
        <f>'Local multi year dist'!BG69</f>
        <v>4145.1230078198687</v>
      </c>
      <c r="AP69" s="63">
        <f>'Local multi year dist'!BH69</f>
        <v>4798.1931322038081</v>
      </c>
      <c r="AQ69" s="63">
        <f>'Local multi year dist'!BI69</f>
        <v>1868.4844576040207</v>
      </c>
      <c r="AR69" s="63">
        <f>'Local multi year dist'!BJ69</f>
        <v>2050.0223938300119</v>
      </c>
      <c r="AS69" s="63">
        <f>'Local multi year dist'!BK69</f>
        <v>2183.9957713638205</v>
      </c>
      <c r="AT69" s="63">
        <f>'Local multi year dist'!BL69</f>
        <v>1643.7524448976394</v>
      </c>
      <c r="AU69" s="63">
        <f>'Local multi year dist'!BM69</f>
        <v>2337.7080709299144</v>
      </c>
      <c r="AV69" s="63">
        <f>'Local multi year dist'!BN69</f>
        <v>2351.7385496270222</v>
      </c>
      <c r="AW69" s="63">
        <f>'Local multi year dist'!BO69</f>
        <v>2187.1621210473236</v>
      </c>
      <c r="AX69" s="63">
        <f>'Local multi year dist'!BP69</f>
        <v>2023.1839628524965</v>
      </c>
      <c r="AY69" s="63">
        <f>'Local multi year dist'!BQ69</f>
        <v>1852.6124200026045</v>
      </c>
      <c r="AZ69" s="63">
        <f>'Local multi year dist'!BR69</f>
        <v>1446.394005128456</v>
      </c>
      <c r="BA69" s="63">
        <f>'Local multi year dist'!BS69</f>
        <v>1446.394005128456</v>
      </c>
      <c r="BB69" s="63">
        <f>'Local multi year dist'!BT69</f>
        <v>1446.394005128456</v>
      </c>
      <c r="BC69" s="63">
        <f>'Local multi year dist'!BU69</f>
        <v>1195.4920720366254</v>
      </c>
      <c r="BD69" s="63">
        <f>'Local multi year dist'!BV69</f>
        <v>1195.4920720366254</v>
      </c>
      <c r="BE69" s="63">
        <f>'Local multi year dist'!BW69</f>
        <v>862.86019778288312</v>
      </c>
      <c r="BF69" s="63"/>
      <c r="BG69" s="63"/>
      <c r="BH69" s="63"/>
      <c r="BI69" s="63"/>
      <c r="BJ69" s="63"/>
      <c r="BK69" s="63"/>
      <c r="BL69" s="63"/>
      <c r="BM69" s="63"/>
      <c r="BN69" s="63"/>
      <c r="BO69" s="63"/>
      <c r="BP69" s="63"/>
      <c r="BQ69" s="63"/>
    </row>
    <row r="70" spans="1:69" x14ac:dyDescent="0.25">
      <c r="A70" t="str">
        <f>'Local multi year dist'!S70</f>
        <v>King and Queen County</v>
      </c>
      <c r="B70" s="63">
        <f>'Local multi year dist'!T70</f>
        <v>2927.7718905981174</v>
      </c>
      <c r="C70" s="63">
        <f>'Local multi year dist'!U70</f>
        <v>18534.392258018273</v>
      </c>
      <c r="D70" s="63">
        <f>'Local multi year dist'!V70</f>
        <v>22857.648231346924</v>
      </c>
      <c r="E70" s="63">
        <f>'Local multi year dist'!W70</f>
        <v>8765.8574944346365</v>
      </c>
      <c r="F70" s="63">
        <f>'Local multi year dist'!X70</f>
        <v>9419.4803590772535</v>
      </c>
      <c r="G70" s="63">
        <f>'Local multi year dist'!Y70</f>
        <v>10010.660125109995</v>
      </c>
      <c r="H70" s="63">
        <f>'Local multi year dist'!Z70</f>
        <v>7626.7467744114247</v>
      </c>
      <c r="I70" s="63">
        <f>'Local multi year dist'!AA70</f>
        <v>10688.941160988979</v>
      </c>
      <c r="J70" s="63">
        <f>'Local multi year dist'!AB70</f>
        <v>10737.575153876924</v>
      </c>
      <c r="K70" s="63">
        <f>'Local multi year dist'!AC70</f>
        <v>10053.515597266052</v>
      </c>
      <c r="L70" s="63">
        <f>'Local multi year dist'!AD70</f>
        <v>9329.7240307784377</v>
      </c>
      <c r="M70" s="63">
        <f>'Local multi year dist'!AE70</f>
        <v>8577.048785516401</v>
      </c>
      <c r="N70" s="63">
        <f>'Local multi year dist'!AF70</f>
        <v>6545.5417791590662</v>
      </c>
      <c r="O70" s="63">
        <f>'Local multi year dist'!AG70</f>
        <v>6545.5417791590662</v>
      </c>
      <c r="P70" s="63">
        <f>'Local multi year dist'!AH70</f>
        <v>6545.5417791590662</v>
      </c>
      <c r="Q70" s="63">
        <f>'Local multi year dist'!AI70</f>
        <v>5438.3953532584446</v>
      </c>
      <c r="R70" s="63">
        <f>'Local multi year dist'!AJ70</f>
        <v>5438.3953532584446</v>
      </c>
      <c r="S70" s="63">
        <f>'Local multi year dist'!AK70</f>
        <v>3807.5138451706389</v>
      </c>
      <c r="T70" s="63"/>
      <c r="U70" s="63">
        <f>'Local multi year dist'!AM70</f>
        <v>0</v>
      </c>
      <c r="V70" s="63">
        <f>'Local multi year dist'!AN70</f>
        <v>6706.7158778209105</v>
      </c>
      <c r="W70" s="63">
        <f>'Local multi year dist'!AO70</f>
        <v>7763.3686633409925</v>
      </c>
      <c r="X70" s="63">
        <f>'Local multi year dist'!AP70</f>
        <v>3023.1658639885277</v>
      </c>
      <c r="Y70" s="63">
        <f>'Local multi year dist'!AQ70</f>
        <v>3316.8901652979966</v>
      </c>
      <c r="Z70" s="63">
        <f>'Local multi year dist'!AR70</f>
        <v>3533.6560795100017</v>
      </c>
      <c r="AA70" s="63">
        <f>'Local multi year dist'!AS70</f>
        <v>2659.5545175871916</v>
      </c>
      <c r="AB70" s="63">
        <f>'Local multi year dist'!AT70</f>
        <v>3782.3591259989621</v>
      </c>
      <c r="AC70" s="63">
        <f>'Local multi year dist'!AU70</f>
        <v>3805.0601252392266</v>
      </c>
      <c r="AD70" s="63">
        <f>'Local multi year dist'!AV70</f>
        <v>3538.7791621439846</v>
      </c>
      <c r="AE70" s="63">
        <f>'Local multi year dist'!AW70</f>
        <v>3273.4661870871855</v>
      </c>
      <c r="AF70" s="63">
        <f>'Local multi year dist'!AX70</f>
        <v>2997.4852638244383</v>
      </c>
      <c r="AG70" s="63">
        <f>'Local multi year dist'!AY70</f>
        <v>2340.2329970617716</v>
      </c>
      <c r="AH70" s="63">
        <f>'Local multi year dist'!AZ70</f>
        <v>2340.2329970617716</v>
      </c>
      <c r="AI70" s="63">
        <f>'Local multi year dist'!BA70</f>
        <v>2340.2329970617716</v>
      </c>
      <c r="AJ70" s="63">
        <f>'Local multi year dist'!BB70</f>
        <v>1934.2793075648772</v>
      </c>
      <c r="AK70" s="63">
        <f>'Local multi year dist'!BC70</f>
        <v>1934.2793075648772</v>
      </c>
      <c r="AL70" s="63">
        <f>'Local multi year dist'!BD70</f>
        <v>1396.0884098959009</v>
      </c>
      <c r="AN70" s="63">
        <f>'Local multi year dist'!BF70</f>
        <v>0</v>
      </c>
      <c r="AO70" s="63">
        <f>'Local multi year dist'!BG70</f>
        <v>1676.6789694552276</v>
      </c>
      <c r="AP70" s="63">
        <f>'Local multi year dist'!BH70</f>
        <v>1940.8421658352481</v>
      </c>
      <c r="AQ70" s="63">
        <f>'Local multi year dist'!BI70</f>
        <v>755.79146599713192</v>
      </c>
      <c r="AR70" s="63">
        <f>'Local multi year dist'!BJ70</f>
        <v>829.22254132449916</v>
      </c>
      <c r="AS70" s="63">
        <f>'Local multi year dist'!BK70</f>
        <v>883.41401987750044</v>
      </c>
      <c r="AT70" s="63">
        <f>'Local multi year dist'!BL70</f>
        <v>664.88862939679791</v>
      </c>
      <c r="AU70" s="63">
        <f>'Local multi year dist'!BM70</f>
        <v>945.58978149974052</v>
      </c>
      <c r="AV70" s="63">
        <f>'Local multi year dist'!BN70</f>
        <v>951.26503130980666</v>
      </c>
      <c r="AW70" s="63">
        <f>'Local multi year dist'!BO70</f>
        <v>884.69479053599616</v>
      </c>
      <c r="AX70" s="63">
        <f>'Local multi year dist'!BP70</f>
        <v>818.36654677179638</v>
      </c>
      <c r="AY70" s="63">
        <f>'Local multi year dist'!BQ70</f>
        <v>749.37131595610958</v>
      </c>
      <c r="AZ70" s="63">
        <f>'Local multi year dist'!BR70</f>
        <v>585.0582492654429</v>
      </c>
      <c r="BA70" s="63">
        <f>'Local multi year dist'!BS70</f>
        <v>585.0582492654429</v>
      </c>
      <c r="BB70" s="63">
        <f>'Local multi year dist'!BT70</f>
        <v>585.0582492654429</v>
      </c>
      <c r="BC70" s="63">
        <f>'Local multi year dist'!BU70</f>
        <v>483.56982689121929</v>
      </c>
      <c r="BD70" s="63">
        <f>'Local multi year dist'!BV70</f>
        <v>483.56982689121929</v>
      </c>
      <c r="BE70" s="63">
        <f>'Local multi year dist'!BW70</f>
        <v>349.02210247397522</v>
      </c>
      <c r="BF70" s="63"/>
      <c r="BG70" s="63"/>
      <c r="BH70" s="63"/>
      <c r="BI70" s="63"/>
      <c r="BJ70" s="63"/>
      <c r="BK70" s="63"/>
      <c r="BL70" s="63"/>
      <c r="BM70" s="63"/>
      <c r="BN70" s="63"/>
      <c r="BO70" s="63"/>
      <c r="BP70" s="63"/>
      <c r="BQ70" s="63"/>
    </row>
    <row r="71" spans="1:69" x14ac:dyDescent="0.25">
      <c r="A71" t="str">
        <f>'Local multi year dist'!S71</f>
        <v>Lancaster County</v>
      </c>
      <c r="B71" s="63">
        <f>'Local multi year dist'!T71</f>
        <v>5489.5722948714701</v>
      </c>
      <c r="C71" s="63">
        <f>'Local multi year dist'!U71</f>
        <v>34751.985483784265</v>
      </c>
      <c r="D71" s="63">
        <f>'Local multi year dist'!V71</f>
        <v>42858.090433775484</v>
      </c>
      <c r="E71" s="63">
        <f>'Local multi year dist'!W71</f>
        <v>16435.982802064944</v>
      </c>
      <c r="F71" s="63">
        <f>'Local multi year dist'!X71</f>
        <v>17661.525673269851</v>
      </c>
      <c r="G71" s="63">
        <f>'Local multi year dist'!Y71</f>
        <v>18769.987734581242</v>
      </c>
      <c r="H71" s="63">
        <f>'Local multi year dist'!Z71</f>
        <v>14300.150202021419</v>
      </c>
      <c r="I71" s="63">
        <f>'Local multi year dist'!AA71</f>
        <v>20041.764676854335</v>
      </c>
      <c r="J71" s="63">
        <f>'Local multi year dist'!AB71</f>
        <v>20132.95341351923</v>
      </c>
      <c r="K71" s="63">
        <f>'Local multi year dist'!AC71</f>
        <v>18850.341744873847</v>
      </c>
      <c r="L71" s="63">
        <f>'Local multi year dist'!AD71</f>
        <v>17493.232557709569</v>
      </c>
      <c r="M71" s="63">
        <f>'Local multi year dist'!AE71</f>
        <v>16081.966472843253</v>
      </c>
      <c r="N71" s="63">
        <f>'Local multi year dist'!AF71</f>
        <v>12272.890835923248</v>
      </c>
      <c r="O71" s="63">
        <f>'Local multi year dist'!AG71</f>
        <v>12272.890835923248</v>
      </c>
      <c r="P71" s="63">
        <f>'Local multi year dist'!AH71</f>
        <v>12272.890835923248</v>
      </c>
      <c r="Q71" s="63">
        <f>'Local multi year dist'!AI71</f>
        <v>10196.991287359584</v>
      </c>
      <c r="R71" s="63">
        <f>'Local multi year dist'!AJ71</f>
        <v>10196.991287359584</v>
      </c>
      <c r="S71" s="63">
        <f>'Local multi year dist'!AK71</f>
        <v>7139.0884596949472</v>
      </c>
      <c r="T71" s="63"/>
      <c r="U71" s="63">
        <f>'Local multi year dist'!AM71</f>
        <v>0</v>
      </c>
      <c r="V71" s="63">
        <f>'Local multi year dist'!AN71</f>
        <v>12575.092270914207</v>
      </c>
      <c r="W71" s="63">
        <f>'Local multi year dist'!AO71</f>
        <v>14556.31624376436</v>
      </c>
      <c r="X71" s="63">
        <f>'Local multi year dist'!AP71</f>
        <v>5668.4359949784894</v>
      </c>
      <c r="Y71" s="63">
        <f>'Local multi year dist'!AQ71</f>
        <v>6219.1690599337435</v>
      </c>
      <c r="Z71" s="63">
        <f>'Local multi year dist'!AR71</f>
        <v>6625.6051490812524</v>
      </c>
      <c r="AA71" s="63">
        <f>'Local multi year dist'!AS71</f>
        <v>4986.6647204759847</v>
      </c>
      <c r="AB71" s="63">
        <f>'Local multi year dist'!AT71</f>
        <v>7091.9233612480539</v>
      </c>
      <c r="AC71" s="63">
        <f>'Local multi year dist'!AU71</f>
        <v>7134.4877348235495</v>
      </c>
      <c r="AD71" s="63">
        <f>'Local multi year dist'!AV71</f>
        <v>6635.2109290199705</v>
      </c>
      <c r="AE71" s="63">
        <f>'Local multi year dist'!AW71</f>
        <v>6137.7491007884719</v>
      </c>
      <c r="AF71" s="63">
        <f>'Local multi year dist'!AX71</f>
        <v>5620.2848696708224</v>
      </c>
      <c r="AG71" s="63">
        <f>'Local multi year dist'!AY71</f>
        <v>4387.9368694908217</v>
      </c>
      <c r="AH71" s="63">
        <f>'Local multi year dist'!AZ71</f>
        <v>4387.9368694908217</v>
      </c>
      <c r="AI71" s="63">
        <f>'Local multi year dist'!BA71</f>
        <v>4387.9368694908217</v>
      </c>
      <c r="AJ71" s="63">
        <f>'Local multi year dist'!BB71</f>
        <v>3626.7737016841443</v>
      </c>
      <c r="AK71" s="63">
        <f>'Local multi year dist'!BC71</f>
        <v>3626.7737016841443</v>
      </c>
      <c r="AL71" s="63">
        <f>'Local multi year dist'!BD71</f>
        <v>2617.6657685548139</v>
      </c>
      <c r="AN71" s="63">
        <f>'Local multi year dist'!BF71</f>
        <v>0</v>
      </c>
      <c r="AO71" s="63">
        <f>'Local multi year dist'!BG71</f>
        <v>3143.7730677285517</v>
      </c>
      <c r="AP71" s="63">
        <f>'Local multi year dist'!BH71</f>
        <v>3639.0790609410901</v>
      </c>
      <c r="AQ71" s="63">
        <f>'Local multi year dist'!BI71</f>
        <v>1417.1089987446223</v>
      </c>
      <c r="AR71" s="63">
        <f>'Local multi year dist'!BJ71</f>
        <v>1554.7922649834359</v>
      </c>
      <c r="AS71" s="63">
        <f>'Local multi year dist'!BK71</f>
        <v>1656.4012872703131</v>
      </c>
      <c r="AT71" s="63">
        <f>'Local multi year dist'!BL71</f>
        <v>1246.6661801189962</v>
      </c>
      <c r="AU71" s="63">
        <f>'Local multi year dist'!BM71</f>
        <v>1772.9808403120135</v>
      </c>
      <c r="AV71" s="63">
        <f>'Local multi year dist'!BN71</f>
        <v>1783.6219337058874</v>
      </c>
      <c r="AW71" s="63">
        <f>'Local multi year dist'!BO71</f>
        <v>1658.8027322549926</v>
      </c>
      <c r="AX71" s="63">
        <f>'Local multi year dist'!BP71</f>
        <v>1534.437275197118</v>
      </c>
      <c r="AY71" s="63">
        <f>'Local multi year dist'!BQ71</f>
        <v>1405.0712174177056</v>
      </c>
      <c r="AZ71" s="63">
        <f>'Local multi year dist'!BR71</f>
        <v>1096.9842173727054</v>
      </c>
      <c r="BA71" s="63">
        <f>'Local multi year dist'!BS71</f>
        <v>1096.9842173727054</v>
      </c>
      <c r="BB71" s="63">
        <f>'Local multi year dist'!BT71</f>
        <v>1096.9842173727054</v>
      </c>
      <c r="BC71" s="63">
        <f>'Local multi year dist'!BU71</f>
        <v>906.69342542103607</v>
      </c>
      <c r="BD71" s="63">
        <f>'Local multi year dist'!BV71</f>
        <v>906.69342542103607</v>
      </c>
      <c r="BE71" s="63">
        <f>'Local multi year dist'!BW71</f>
        <v>654.41644213870347</v>
      </c>
      <c r="BF71" s="63"/>
      <c r="BG71" s="63"/>
      <c r="BH71" s="63"/>
      <c r="BI71" s="63"/>
      <c r="BJ71" s="63"/>
      <c r="BK71" s="63"/>
      <c r="BL71" s="63"/>
      <c r="BM71" s="63"/>
      <c r="BN71" s="63"/>
      <c r="BO71" s="63"/>
      <c r="BP71" s="63"/>
      <c r="BQ71" s="63"/>
    </row>
    <row r="72" spans="1:69" x14ac:dyDescent="0.25">
      <c r="A72" t="str">
        <f>'Local multi year dist'!S72</f>
        <v>Lee County</v>
      </c>
      <c r="B72" s="63">
        <f>'Local multi year dist'!T72</f>
        <v>22608.905155174391</v>
      </c>
      <c r="C72" s="63">
        <f>'Local multi year dist'!U72</f>
        <v>143126.6957702525</v>
      </c>
      <c r="D72" s="63">
        <f>'Local multi year dist'!V72</f>
        <v>176511.839119846</v>
      </c>
      <c r="E72" s="63">
        <f>'Local multi year dist'!W72</f>
        <v>67691.899540356477</v>
      </c>
      <c r="F72" s="63">
        <f>'Local multi year dist'!X72</f>
        <v>72739.32055065225</v>
      </c>
      <c r="G72" s="63">
        <f>'Local multi year dist'!Y72</f>
        <v>77304.542077238424</v>
      </c>
      <c r="H72" s="63">
        <f>'Local multi year dist'!Z72</f>
        <v>58895.433424621653</v>
      </c>
      <c r="I72" s="63">
        <f>'Local multi year dist'!AA72</f>
        <v>82542.378965415031</v>
      </c>
      <c r="J72" s="63">
        <f>'Local multi year dist'!AB72</f>
        <v>82917.941466049713</v>
      </c>
      <c r="K72" s="63">
        <f>'Local multi year dist'!AC72</f>
        <v>77635.481556665763</v>
      </c>
      <c r="L72" s="63">
        <f>'Local multi year dist'!AD72</f>
        <v>72046.202237678051</v>
      </c>
      <c r="M72" s="63">
        <f>'Local multi year dist'!AE72</f>
        <v>66233.87673259899</v>
      </c>
      <c r="N72" s="63">
        <f>'Local multi year dist'!AF72</f>
        <v>50546.128183506211</v>
      </c>
      <c r="O72" s="63">
        <f>'Local multi year dist'!AG72</f>
        <v>50546.128183506211</v>
      </c>
      <c r="P72" s="63">
        <f>'Local multi year dist'!AH72</f>
        <v>50546.128183506211</v>
      </c>
      <c r="Q72" s="63">
        <f>'Local multi year dist'!AI72</f>
        <v>41996.497450162504</v>
      </c>
      <c r="R72" s="63">
        <f>'Local multi year dist'!AJ72</f>
        <v>41996.497450162504</v>
      </c>
      <c r="S72" s="63">
        <f>'Local multi year dist'!AK72</f>
        <v>29402.468026595539</v>
      </c>
      <c r="T72" s="63"/>
      <c r="U72" s="63">
        <f>'Local multi year dist'!AM72</f>
        <v>0</v>
      </c>
      <c r="V72" s="63">
        <f>'Local multi year dist'!AN72</f>
        <v>51790.750389839341</v>
      </c>
      <c r="W72" s="63">
        <f>'Local multi year dist'!AO72</f>
        <v>59950.458011355549</v>
      </c>
      <c r="X72" s="63">
        <f>'Local multi year dist'!AP72</f>
        <v>23345.558616355895</v>
      </c>
      <c r="Y72" s="63">
        <f>'Local multi year dist'!AQ72</f>
        <v>25613.762943134574</v>
      </c>
      <c r="Z72" s="63">
        <f>'Local multi year dist'!AR72</f>
        <v>27287.677502882838</v>
      </c>
      <c r="AA72" s="63">
        <f>'Local multi year dist'!AS72</f>
        <v>20537.670996923349</v>
      </c>
      <c r="AB72" s="63">
        <f>'Local multi year dist'!AT72</f>
        <v>29208.217695214258</v>
      </c>
      <c r="AC72" s="63">
        <f>'Local multi year dist'!AU72</f>
        <v>29383.519856014078</v>
      </c>
      <c r="AD72" s="63">
        <f>'Local multi year dist'!AV72</f>
        <v>27327.239085445261</v>
      </c>
      <c r="AE72" s="63">
        <f>'Local multi year dist'!AW72</f>
        <v>25278.433333617751</v>
      </c>
      <c r="AF72" s="63">
        <f>'Local multi year dist'!AX72</f>
        <v>23147.24731508876</v>
      </c>
      <c r="AG72" s="63">
        <f>'Local multi year dist'!AY72</f>
        <v>18071.799255088157</v>
      </c>
      <c r="AH72" s="63">
        <f>'Local multi year dist'!AZ72</f>
        <v>18071.799255088157</v>
      </c>
      <c r="AI72" s="63">
        <f>'Local multi year dist'!BA72</f>
        <v>18071.799255088157</v>
      </c>
      <c r="AJ72" s="63">
        <f>'Local multi year dist'!BB72</f>
        <v>14936.934652862132</v>
      </c>
      <c r="AK72" s="63">
        <f>'Local multi year dist'!BC72</f>
        <v>14936.934652862132</v>
      </c>
      <c r="AL72" s="63">
        <f>'Local multi year dist'!BD72</f>
        <v>10780.90494308503</v>
      </c>
      <c r="AN72" s="63">
        <f>'Local multi year dist'!BF72</f>
        <v>0</v>
      </c>
      <c r="AO72" s="63">
        <f>'Local multi year dist'!BG72</f>
        <v>12947.687597459835</v>
      </c>
      <c r="AP72" s="63">
        <f>'Local multi year dist'!BH72</f>
        <v>14987.614502838887</v>
      </c>
      <c r="AQ72" s="63">
        <f>'Local multi year dist'!BI72</f>
        <v>5836.3896540889737</v>
      </c>
      <c r="AR72" s="63">
        <f>'Local multi year dist'!BJ72</f>
        <v>6403.4407357836435</v>
      </c>
      <c r="AS72" s="63">
        <f>'Local multi year dist'!BK72</f>
        <v>6821.9193757207095</v>
      </c>
      <c r="AT72" s="63">
        <f>'Local multi year dist'!BL72</f>
        <v>5134.4177492308372</v>
      </c>
      <c r="AU72" s="63">
        <f>'Local multi year dist'!BM72</f>
        <v>7302.0544238035645</v>
      </c>
      <c r="AV72" s="63">
        <f>'Local multi year dist'!BN72</f>
        <v>7345.8799640035195</v>
      </c>
      <c r="AW72" s="63">
        <f>'Local multi year dist'!BO72</f>
        <v>6831.8097713613151</v>
      </c>
      <c r="AX72" s="63">
        <f>'Local multi year dist'!BP72</f>
        <v>6319.6083334044379</v>
      </c>
      <c r="AY72" s="63">
        <f>'Local multi year dist'!BQ72</f>
        <v>5786.81182877219</v>
      </c>
      <c r="AZ72" s="63">
        <f>'Local multi year dist'!BR72</f>
        <v>4517.9498137720393</v>
      </c>
      <c r="BA72" s="63">
        <f>'Local multi year dist'!BS72</f>
        <v>4517.9498137720393</v>
      </c>
      <c r="BB72" s="63">
        <f>'Local multi year dist'!BT72</f>
        <v>4517.9498137720393</v>
      </c>
      <c r="BC72" s="63">
        <f>'Local multi year dist'!BU72</f>
        <v>3734.2336632155329</v>
      </c>
      <c r="BD72" s="63">
        <f>'Local multi year dist'!BV72</f>
        <v>3734.2336632155329</v>
      </c>
      <c r="BE72" s="63">
        <f>'Local multi year dist'!BW72</f>
        <v>2695.2262357712575</v>
      </c>
      <c r="BF72" s="63"/>
      <c r="BG72" s="63"/>
      <c r="BH72" s="63"/>
      <c r="BI72" s="63"/>
      <c r="BJ72" s="63"/>
      <c r="BK72" s="63"/>
      <c r="BL72" s="63"/>
      <c r="BM72" s="63"/>
      <c r="BN72" s="63"/>
      <c r="BO72" s="63"/>
      <c r="BP72" s="63"/>
      <c r="BQ72" s="63"/>
    </row>
    <row r="73" spans="1:69" x14ac:dyDescent="0.25">
      <c r="A73" t="str">
        <f>'Local multi year dist'!S73</f>
        <v>Lexington City</v>
      </c>
      <c r="B73" s="63">
        <f>'Local multi year dist'!T73</f>
        <v>3781.7053586892348</v>
      </c>
      <c r="C73" s="63">
        <f>'Local multi year dist'!U73</f>
        <v>23940.25666660694</v>
      </c>
      <c r="D73" s="63">
        <f>'Local multi year dist'!V73</f>
        <v>29524.462298823113</v>
      </c>
      <c r="E73" s="63">
        <f>'Local multi year dist'!W73</f>
        <v>11322.565930311406</v>
      </c>
      <c r="F73" s="63">
        <f>'Local multi year dist'!X73</f>
        <v>12166.828797141454</v>
      </c>
      <c r="G73" s="63">
        <f>'Local multi year dist'!Y73</f>
        <v>12930.435994933743</v>
      </c>
      <c r="H73" s="63">
        <f>'Local multi year dist'!Z73</f>
        <v>9851.2145836147556</v>
      </c>
      <c r="I73" s="63">
        <f>'Local multi year dist'!AA73</f>
        <v>13806.548999610764</v>
      </c>
      <c r="J73" s="63">
        <f>'Local multi year dist'!AB73</f>
        <v>13869.367907091026</v>
      </c>
      <c r="K73" s="63">
        <f>'Local multi year dist'!AC73</f>
        <v>12985.790979801985</v>
      </c>
      <c r="L73" s="63">
        <f>'Local multi year dist'!AD73</f>
        <v>12050.893539755481</v>
      </c>
      <c r="M73" s="63">
        <f>'Local multi year dist'!AE73</f>
        <v>11078.688014625352</v>
      </c>
      <c r="N73" s="63">
        <f>'Local multi year dist'!AF73</f>
        <v>8454.6581314137929</v>
      </c>
      <c r="O73" s="63">
        <f>'Local multi year dist'!AG73</f>
        <v>8454.6581314137929</v>
      </c>
      <c r="P73" s="63">
        <f>'Local multi year dist'!AH73</f>
        <v>8454.6581314137929</v>
      </c>
      <c r="Q73" s="63">
        <f>'Local multi year dist'!AI73</f>
        <v>7024.5939979588247</v>
      </c>
      <c r="R73" s="63">
        <f>'Local multi year dist'!AJ73</f>
        <v>7024.5939979588247</v>
      </c>
      <c r="S73" s="63">
        <f>'Local multi year dist'!AK73</f>
        <v>4918.0387166787414</v>
      </c>
      <c r="T73" s="63"/>
      <c r="U73" s="63">
        <f>'Local multi year dist'!AM73</f>
        <v>0</v>
      </c>
      <c r="V73" s="63">
        <f>'Local multi year dist'!AN73</f>
        <v>8662.841342185342</v>
      </c>
      <c r="W73" s="63">
        <f>'Local multi year dist'!AO73</f>
        <v>10027.684523482116</v>
      </c>
      <c r="X73" s="63">
        <f>'Local multi year dist'!AP73</f>
        <v>3904.9225743185148</v>
      </c>
      <c r="Y73" s="63">
        <f>'Local multi year dist'!AQ73</f>
        <v>4284.316463509912</v>
      </c>
      <c r="Z73" s="63">
        <f>'Local multi year dist'!AR73</f>
        <v>4564.3057693670853</v>
      </c>
      <c r="AA73" s="63">
        <f>'Local multi year dist'!AS73</f>
        <v>3435.2579185501227</v>
      </c>
      <c r="AB73" s="63">
        <f>'Local multi year dist'!AT73</f>
        <v>4885.5472044153257</v>
      </c>
      <c r="AC73" s="63">
        <f>'Local multi year dist'!AU73</f>
        <v>4914.8693284340006</v>
      </c>
      <c r="AD73" s="63">
        <f>'Local multi year dist'!AV73</f>
        <v>4570.9230844359799</v>
      </c>
      <c r="AE73" s="63">
        <f>'Local multi year dist'!AW73</f>
        <v>4228.2271583209476</v>
      </c>
      <c r="AF73" s="63">
        <f>'Local multi year dist'!AX73</f>
        <v>3871.7517991065665</v>
      </c>
      <c r="AG73" s="63">
        <f>'Local multi year dist'!AY73</f>
        <v>3022.8009545381215</v>
      </c>
      <c r="AH73" s="63">
        <f>'Local multi year dist'!AZ73</f>
        <v>3022.8009545381215</v>
      </c>
      <c r="AI73" s="63">
        <f>'Local multi year dist'!BA73</f>
        <v>3022.8009545381215</v>
      </c>
      <c r="AJ73" s="63">
        <f>'Local multi year dist'!BB73</f>
        <v>2498.444105604633</v>
      </c>
      <c r="AK73" s="63">
        <f>'Local multi year dist'!BC73</f>
        <v>2498.444105604633</v>
      </c>
      <c r="AL73" s="63">
        <f>'Local multi year dist'!BD73</f>
        <v>1803.2808627822051</v>
      </c>
      <c r="AN73" s="63">
        <f>'Local multi year dist'!BF73</f>
        <v>0</v>
      </c>
      <c r="AO73" s="63">
        <f>'Local multi year dist'!BG73</f>
        <v>2165.7103355463355</v>
      </c>
      <c r="AP73" s="63">
        <f>'Local multi year dist'!BH73</f>
        <v>2506.9211308705289</v>
      </c>
      <c r="AQ73" s="63">
        <f>'Local multi year dist'!BI73</f>
        <v>976.23064357962869</v>
      </c>
      <c r="AR73" s="63">
        <f>'Local multi year dist'!BJ73</f>
        <v>1071.079115877478</v>
      </c>
      <c r="AS73" s="63">
        <f>'Local multi year dist'!BK73</f>
        <v>1141.0764423417713</v>
      </c>
      <c r="AT73" s="63">
        <f>'Local multi year dist'!BL73</f>
        <v>858.81447963753067</v>
      </c>
      <c r="AU73" s="63">
        <f>'Local multi year dist'!BM73</f>
        <v>1221.3868011038314</v>
      </c>
      <c r="AV73" s="63">
        <f>'Local multi year dist'!BN73</f>
        <v>1228.7173321085002</v>
      </c>
      <c r="AW73" s="63">
        <f>'Local multi year dist'!BO73</f>
        <v>1142.730771108995</v>
      </c>
      <c r="AX73" s="63">
        <f>'Local multi year dist'!BP73</f>
        <v>1057.0567895802369</v>
      </c>
      <c r="AY73" s="63">
        <f>'Local multi year dist'!BQ73</f>
        <v>967.93794977664163</v>
      </c>
      <c r="AZ73" s="63">
        <f>'Local multi year dist'!BR73</f>
        <v>755.70023863453036</v>
      </c>
      <c r="BA73" s="63">
        <f>'Local multi year dist'!BS73</f>
        <v>755.70023863453036</v>
      </c>
      <c r="BB73" s="63">
        <f>'Local multi year dist'!BT73</f>
        <v>755.70023863453036</v>
      </c>
      <c r="BC73" s="63">
        <f>'Local multi year dist'!BU73</f>
        <v>624.61102640115826</v>
      </c>
      <c r="BD73" s="63">
        <f>'Local multi year dist'!BV73</f>
        <v>624.61102640115826</v>
      </c>
      <c r="BE73" s="63">
        <f>'Local multi year dist'!BW73</f>
        <v>450.82021569555127</v>
      </c>
      <c r="BF73" s="63"/>
      <c r="BG73" s="63"/>
      <c r="BH73" s="63"/>
      <c r="BI73" s="63"/>
      <c r="BJ73" s="63"/>
      <c r="BK73" s="63"/>
      <c r="BL73" s="63"/>
      <c r="BM73" s="63"/>
      <c r="BN73" s="63"/>
      <c r="BO73" s="63"/>
      <c r="BP73" s="63"/>
      <c r="BQ73" s="63"/>
    </row>
    <row r="74" spans="1:69" x14ac:dyDescent="0.25">
      <c r="A74" t="str">
        <f>'Local multi year dist'!S74</f>
        <v>Loudoun County</v>
      </c>
      <c r="B74" s="63">
        <f>'Local multi year dist'!T74</f>
        <v>104383.20059951898</v>
      </c>
      <c r="C74" s="63">
        <f>'Local multi year dist'!U74</f>
        <v>660802.56842129037</v>
      </c>
      <c r="D74" s="63">
        <f>'Local multi year dist'!V74</f>
        <v>814938.65291482722</v>
      </c>
      <c r="E74" s="63">
        <f>'Local multi year dist'!W74</f>
        <v>312527.16928074602</v>
      </c>
      <c r="F74" s="63">
        <f>'Local multi year dist'!X74</f>
        <v>335830.64002432377</v>
      </c>
      <c r="G74" s="63">
        <f>'Local multi year dist'!Y74</f>
        <v>356907.84084940772</v>
      </c>
      <c r="H74" s="63">
        <f>'Local multi year dist'!Z74</f>
        <v>271914.70791547396</v>
      </c>
      <c r="I74" s="63">
        <f>'Local multi year dist'!AA74</f>
        <v>381090.44389248203</v>
      </c>
      <c r="J74" s="63">
        <f>'Local multi year dist'!AB74</f>
        <v>382824.38083336194</v>
      </c>
      <c r="K74" s="63">
        <f>'Local multi year dist'!AC74</f>
        <v>358435.75747474941</v>
      </c>
      <c r="L74" s="63">
        <f>'Local multi year dist'!AD74</f>
        <v>332630.57759733679</v>
      </c>
      <c r="M74" s="63">
        <f>'Local multi year dist'!AE74</f>
        <v>305795.61433917499</v>
      </c>
      <c r="N74" s="63">
        <f>'Local multi year dist'!AF74</f>
        <v>233366.74648751837</v>
      </c>
      <c r="O74" s="63">
        <f>'Local multi year dist'!AG74</f>
        <v>233366.74648751837</v>
      </c>
      <c r="P74" s="63">
        <f>'Local multi year dist'!AH74</f>
        <v>233366.74648751837</v>
      </c>
      <c r="Q74" s="63">
        <f>'Local multi year dist'!AI74</f>
        <v>193893.90099742261</v>
      </c>
      <c r="R74" s="63">
        <f>'Local multi year dist'!AJ74</f>
        <v>193893.90099742261</v>
      </c>
      <c r="S74" s="63">
        <f>'Local multi year dist'!AK74</f>
        <v>135748.44500768097</v>
      </c>
      <c r="T74" s="63"/>
      <c r="U74" s="63">
        <f>'Local multi year dist'!AM74</f>
        <v>0</v>
      </c>
      <c r="V74" s="63">
        <f>'Local multi year dist'!AN74</f>
        <v>239113.05081064274</v>
      </c>
      <c r="W74" s="63">
        <f>'Local multi year dist'!AO74</f>
        <v>276785.65776106011</v>
      </c>
      <c r="X74" s="63">
        <f>'Local multi year dist'!AP74</f>
        <v>107784.26073414653</v>
      </c>
      <c r="Y74" s="63">
        <f>'Local multi year dist'!AQ74</f>
        <v>118256.34797666606</v>
      </c>
      <c r="Z74" s="63">
        <f>'Local multi year dist'!AR74</f>
        <v>125984.65494586353</v>
      </c>
      <c r="AA74" s="63">
        <f>'Local multi year dist'!AS74</f>
        <v>94820.50620342113</v>
      </c>
      <c r="AB74" s="63">
        <f>'Local multi year dist'!AT74</f>
        <v>134851.60939499078</v>
      </c>
      <c r="AC74" s="63">
        <f>'Local multi year dist'!AU74</f>
        <v>135660.96307623741</v>
      </c>
      <c r="AD74" s="63">
        <f>'Local multi year dist'!AV74</f>
        <v>126167.3070725501</v>
      </c>
      <c r="AE74" s="63">
        <f>'Local multi year dist'!AW74</f>
        <v>116708.16253128895</v>
      </c>
      <c r="AF74" s="63">
        <f>'Local multi year dist'!AX74</f>
        <v>106868.67600329629</v>
      </c>
      <c r="AG74" s="63">
        <f>'Local multi year dist'!AY74</f>
        <v>83435.806992466212</v>
      </c>
      <c r="AH74" s="63">
        <f>'Local multi year dist'!AZ74</f>
        <v>83435.806992466212</v>
      </c>
      <c r="AI74" s="63">
        <f>'Local multi year dist'!BA74</f>
        <v>83435.806992466212</v>
      </c>
      <c r="AJ74" s="63">
        <f>'Local multi year dist'!BB74</f>
        <v>68962.430312764438</v>
      </c>
      <c r="AK74" s="63">
        <f>'Local multi year dist'!BC74</f>
        <v>68962.430312764438</v>
      </c>
      <c r="AL74" s="63">
        <f>'Local multi year dist'!BD74</f>
        <v>49774.429836149684</v>
      </c>
      <c r="AN74" s="63">
        <f>'Local multi year dist'!BF74</f>
        <v>0</v>
      </c>
      <c r="AO74" s="63">
        <f>'Local multi year dist'!BG74</f>
        <v>59778.262702660686</v>
      </c>
      <c r="AP74" s="63">
        <f>'Local multi year dist'!BH74</f>
        <v>69196.414440265027</v>
      </c>
      <c r="AQ74" s="63">
        <f>'Local multi year dist'!BI74</f>
        <v>26946.065183536633</v>
      </c>
      <c r="AR74" s="63">
        <f>'Local multi year dist'!BJ74</f>
        <v>29564.086994166515</v>
      </c>
      <c r="AS74" s="63">
        <f>'Local multi year dist'!BK74</f>
        <v>31496.163736465882</v>
      </c>
      <c r="AT74" s="63">
        <f>'Local multi year dist'!BL74</f>
        <v>23705.126550855282</v>
      </c>
      <c r="AU74" s="63">
        <f>'Local multi year dist'!BM74</f>
        <v>33712.902348747695</v>
      </c>
      <c r="AV74" s="63">
        <f>'Local multi year dist'!BN74</f>
        <v>33915.240769059354</v>
      </c>
      <c r="AW74" s="63">
        <f>'Local multi year dist'!BO74</f>
        <v>31541.826768137526</v>
      </c>
      <c r="AX74" s="63">
        <f>'Local multi year dist'!BP74</f>
        <v>29177.040632822238</v>
      </c>
      <c r="AY74" s="63">
        <f>'Local multi year dist'!BQ74</f>
        <v>26717.169000824073</v>
      </c>
      <c r="AZ74" s="63">
        <f>'Local multi year dist'!BR74</f>
        <v>20858.951748116553</v>
      </c>
      <c r="BA74" s="63">
        <f>'Local multi year dist'!BS74</f>
        <v>20858.951748116553</v>
      </c>
      <c r="BB74" s="63">
        <f>'Local multi year dist'!BT74</f>
        <v>20858.951748116553</v>
      </c>
      <c r="BC74" s="63">
        <f>'Local multi year dist'!BU74</f>
        <v>17240.607578191109</v>
      </c>
      <c r="BD74" s="63">
        <f>'Local multi year dist'!BV74</f>
        <v>17240.607578191109</v>
      </c>
      <c r="BE74" s="63">
        <f>'Local multi year dist'!BW74</f>
        <v>12443.607459037421</v>
      </c>
      <c r="BF74" s="63"/>
      <c r="BG74" s="63"/>
      <c r="BH74" s="63"/>
      <c r="BI74" s="63"/>
      <c r="BJ74" s="63"/>
      <c r="BK74" s="63"/>
      <c r="BL74" s="63"/>
      <c r="BM74" s="63"/>
      <c r="BN74" s="63"/>
      <c r="BO74" s="63"/>
      <c r="BP74" s="63"/>
      <c r="BQ74" s="63"/>
    </row>
    <row r="75" spans="1:69" x14ac:dyDescent="0.25">
      <c r="A75" t="str">
        <f>'Local multi year dist'!S75</f>
        <v>Louisa County</v>
      </c>
      <c r="B75" s="63">
        <f>'Local multi year dist'!T75</f>
        <v>18257.910817757704</v>
      </c>
      <c r="C75" s="63">
        <f>'Local multi year dist'!U75</f>
        <v>115582.52949791953</v>
      </c>
      <c r="D75" s="63">
        <f>'Local multi year dist'!V75</f>
        <v>142542.83410937182</v>
      </c>
      <c r="E75" s="63">
        <f>'Local multi year dist'!W75</f>
        <v>54664.861319460448</v>
      </c>
      <c r="F75" s="63">
        <f>'Local multi year dist'!X75</f>
        <v>58740.926128134546</v>
      </c>
      <c r="G75" s="63">
        <f>'Local multi year dist'!Y75</f>
        <v>62427.588835755392</v>
      </c>
      <c r="H75" s="63">
        <f>'Local multi year dist'!Z75</f>
        <v>47561.24030153791</v>
      </c>
      <c r="I75" s="63">
        <f>'Local multi year dist'!AA75</f>
        <v>66657.424740056274</v>
      </c>
      <c r="J75" s="63">
        <f>'Local multi year dist'!AB75</f>
        <v>66960.711723482484</v>
      </c>
      <c r="K75" s="63">
        <f>'Local multi year dist'!AC75</f>
        <v>62694.840321839692</v>
      </c>
      <c r="L75" s="63">
        <f>'Local multi year dist'!AD75</f>
        <v>58181.195691937755</v>
      </c>
      <c r="M75" s="63">
        <f>'Local multi year dist'!AE75</f>
        <v>53487.429231900896</v>
      </c>
      <c r="N75" s="63">
        <f>'Local multi year dist'!AF75</f>
        <v>40818.725817255843</v>
      </c>
      <c r="O75" s="63">
        <f>'Local multi year dist'!AG75</f>
        <v>40818.725817255843</v>
      </c>
      <c r="P75" s="63">
        <f>'Local multi year dist'!AH75</f>
        <v>40818.725817255843</v>
      </c>
      <c r="Q75" s="63">
        <f>'Local multi year dist'!AI75</f>
        <v>33914.437689070022</v>
      </c>
      <c r="R75" s="63">
        <f>'Local multi year dist'!AJ75</f>
        <v>33914.437689070022</v>
      </c>
      <c r="S75" s="63">
        <f>'Local multi year dist'!AK75</f>
        <v>23744.079395578014</v>
      </c>
      <c r="T75" s="63"/>
      <c r="U75" s="63">
        <f>'Local multi year dist'!AM75</f>
        <v>0</v>
      </c>
      <c r="V75" s="63">
        <f>'Local multi year dist'!AN75</f>
        <v>41823.82540474429</v>
      </c>
      <c r="W75" s="63">
        <f>'Local multi year dist'!AO75</f>
        <v>48413.22958111258</v>
      </c>
      <c r="X75" s="63">
        <f>'Local multi year dist'!AP75</f>
        <v>18852.79823515068</v>
      </c>
      <c r="Y75" s="63">
        <f>'Local multi year dist'!AQ75</f>
        <v>20684.495614150008</v>
      </c>
      <c r="Z75" s="63">
        <f>'Local multi year dist'!AR75</f>
        <v>22036.271940277649</v>
      </c>
      <c r="AA75" s="63">
        <f>'Local multi year dist'!AS75</f>
        <v>16585.277477731237</v>
      </c>
      <c r="AB75" s="63">
        <f>'Local multi year dist'!AT75</f>
        <v>23587.21177185464</v>
      </c>
      <c r="AC75" s="63">
        <f>'Local multi year dist'!AU75</f>
        <v>23728.777725450178</v>
      </c>
      <c r="AD75" s="63">
        <f>'Local multi year dist'!AV75</f>
        <v>22068.220052814569</v>
      </c>
      <c r="AE75" s="63">
        <f>'Local multi year dist'!AW75</f>
        <v>20413.698861140922</v>
      </c>
      <c r="AF75" s="63">
        <f>'Local multi year dist'!AX75</f>
        <v>18692.651159127403</v>
      </c>
      <c r="AG75" s="63">
        <f>'Local multi year dist'!AY75</f>
        <v>14593.952995565771</v>
      </c>
      <c r="AH75" s="63">
        <f>'Local multi year dist'!AZ75</f>
        <v>14593.952995565771</v>
      </c>
      <c r="AI75" s="63">
        <f>'Local multi year dist'!BA75</f>
        <v>14593.952995565771</v>
      </c>
      <c r="AJ75" s="63">
        <f>'Local multi year dist'!BB75</f>
        <v>12062.380681897637</v>
      </c>
      <c r="AK75" s="63">
        <f>'Local multi year dist'!BC75</f>
        <v>12062.380681897637</v>
      </c>
      <c r="AL75" s="63">
        <f>'Local multi year dist'!BD75</f>
        <v>8706.1624450452709</v>
      </c>
      <c r="AN75" s="63">
        <f>'Local multi year dist'!BF75</f>
        <v>0</v>
      </c>
      <c r="AO75" s="63">
        <f>'Local multi year dist'!BG75</f>
        <v>10455.956351186072</v>
      </c>
      <c r="AP75" s="63">
        <f>'Local multi year dist'!BH75</f>
        <v>12103.307395278145</v>
      </c>
      <c r="AQ75" s="63">
        <f>'Local multi year dist'!BI75</f>
        <v>4713.19955878767</v>
      </c>
      <c r="AR75" s="63">
        <f>'Local multi year dist'!BJ75</f>
        <v>5171.123903537502</v>
      </c>
      <c r="AS75" s="63">
        <f>'Local multi year dist'!BK75</f>
        <v>5509.0679850694123</v>
      </c>
      <c r="AT75" s="63">
        <f>'Local multi year dist'!BL75</f>
        <v>4146.3193694328093</v>
      </c>
      <c r="AU75" s="63">
        <f>'Local multi year dist'!BM75</f>
        <v>5896.8029429636599</v>
      </c>
      <c r="AV75" s="63">
        <f>'Local multi year dist'!BN75</f>
        <v>5932.1944313625445</v>
      </c>
      <c r="AW75" s="63">
        <f>'Local multi year dist'!BO75</f>
        <v>5517.0550132036424</v>
      </c>
      <c r="AX75" s="63">
        <f>'Local multi year dist'!BP75</f>
        <v>5103.4247152852304</v>
      </c>
      <c r="AY75" s="63">
        <f>'Local multi year dist'!BQ75</f>
        <v>4673.1627897818507</v>
      </c>
      <c r="AZ75" s="63">
        <f>'Local multi year dist'!BR75</f>
        <v>3648.4882488914427</v>
      </c>
      <c r="BA75" s="63">
        <f>'Local multi year dist'!BS75</f>
        <v>3648.4882488914427</v>
      </c>
      <c r="BB75" s="63">
        <f>'Local multi year dist'!BT75</f>
        <v>3648.4882488914427</v>
      </c>
      <c r="BC75" s="63">
        <f>'Local multi year dist'!BU75</f>
        <v>3015.5951704744093</v>
      </c>
      <c r="BD75" s="63">
        <f>'Local multi year dist'!BV75</f>
        <v>3015.5951704744093</v>
      </c>
      <c r="BE75" s="63">
        <f>'Local multi year dist'!BW75</f>
        <v>2176.5406112613177</v>
      </c>
      <c r="BF75" s="63"/>
      <c r="BG75" s="63"/>
      <c r="BH75" s="63"/>
      <c r="BI75" s="63"/>
      <c r="BJ75" s="63"/>
      <c r="BK75" s="63"/>
      <c r="BL75" s="63"/>
      <c r="BM75" s="63"/>
      <c r="BN75" s="63"/>
      <c r="BO75" s="63"/>
      <c r="BP75" s="63"/>
      <c r="BQ75" s="63"/>
    </row>
    <row r="76" spans="1:69" x14ac:dyDescent="0.25">
      <c r="A76" t="str">
        <f>'Local multi year dist'!S76</f>
        <v>Lunenbeurg County</v>
      </c>
      <c r="B76" s="63">
        <f>'Local multi year dist'!T76</f>
        <v>3578.3878662865877</v>
      </c>
      <c r="C76" s="63">
        <f>'Local multi year dist'!U76</f>
        <v>22653.146093133448</v>
      </c>
      <c r="D76" s="63">
        <f>'Local multi year dist'!V76</f>
        <v>27937.125616090685</v>
      </c>
      <c r="E76" s="63">
        <f>'Local multi year dist'!W76</f>
        <v>10713.825826531223</v>
      </c>
      <c r="F76" s="63">
        <f>'Local multi year dist'!X76</f>
        <v>11512.698216649977</v>
      </c>
      <c r="G76" s="63">
        <f>'Local multi year dist'!Y76</f>
        <v>12235.251264023327</v>
      </c>
      <c r="H76" s="63">
        <f>'Local multi year dist'!Z76</f>
        <v>9321.5793909472959</v>
      </c>
      <c r="I76" s="63">
        <f>'Local multi year dist'!AA76</f>
        <v>13064.261418986529</v>
      </c>
      <c r="J76" s="63">
        <f>'Local multi year dist'!AB76</f>
        <v>13123.702965849572</v>
      </c>
      <c r="K76" s="63">
        <f>'Local multi year dist'!AC76</f>
        <v>12287.630174436286</v>
      </c>
      <c r="L76" s="63">
        <f>'Local multi year dist'!AD76</f>
        <v>11402.99603761809</v>
      </c>
      <c r="M76" s="63">
        <f>'Local multi year dist'!AE76</f>
        <v>10483.059626742268</v>
      </c>
      <c r="N76" s="63">
        <f>'Local multi year dist'!AF76</f>
        <v>8000.1066189721923</v>
      </c>
      <c r="O76" s="63">
        <f>'Local multi year dist'!AG76</f>
        <v>8000.1066189721923</v>
      </c>
      <c r="P76" s="63">
        <f>'Local multi year dist'!AH76</f>
        <v>8000.1066189721923</v>
      </c>
      <c r="Q76" s="63">
        <f>'Local multi year dist'!AI76</f>
        <v>6646.9276539825432</v>
      </c>
      <c r="R76" s="63">
        <f>'Local multi year dist'!AJ76</f>
        <v>6646.9276539825432</v>
      </c>
      <c r="S76" s="63">
        <f>'Local multi year dist'!AK76</f>
        <v>4653.6280329863366</v>
      </c>
      <c r="T76" s="63"/>
      <c r="U76" s="63">
        <f>'Local multi year dist'!AM76</f>
        <v>0</v>
      </c>
      <c r="V76" s="63">
        <f>'Local multi year dist'!AN76</f>
        <v>8197.0971840033344</v>
      </c>
      <c r="W76" s="63">
        <f>'Local multi year dist'!AO76</f>
        <v>9488.5616996389908</v>
      </c>
      <c r="X76" s="63">
        <f>'Local multi year dist'!AP76</f>
        <v>3694.9805004304226</v>
      </c>
      <c r="Y76" s="63">
        <f>'Local multi year dist'!AQ76</f>
        <v>4053.9768686975513</v>
      </c>
      <c r="Z76" s="63">
        <f>'Local multi year dist'!AR76</f>
        <v>4318.9129860677795</v>
      </c>
      <c r="AA76" s="63">
        <f>'Local multi year dist'!AS76</f>
        <v>3250.566632606568</v>
      </c>
      <c r="AB76" s="63">
        <f>'Local multi year dist'!AT76</f>
        <v>4622.8833762209533</v>
      </c>
      <c r="AC76" s="63">
        <f>'Local multi year dist'!AU76</f>
        <v>4650.629041959055</v>
      </c>
      <c r="AD76" s="63">
        <f>'Local multi year dist'!AV76</f>
        <v>4325.174531509314</v>
      </c>
      <c r="AE76" s="63">
        <f>'Local multi year dist'!AW76</f>
        <v>4000.9031175510045</v>
      </c>
      <c r="AF76" s="63">
        <f>'Local multi year dist'!AX76</f>
        <v>3663.5931002298694</v>
      </c>
      <c r="AG76" s="63">
        <f>'Local multi year dist'!AY76</f>
        <v>2860.2847741866094</v>
      </c>
      <c r="AH76" s="63">
        <f>'Local multi year dist'!AZ76</f>
        <v>2860.2847741866094</v>
      </c>
      <c r="AI76" s="63">
        <f>'Local multi year dist'!BA76</f>
        <v>2860.2847741866094</v>
      </c>
      <c r="AJ76" s="63">
        <f>'Local multi year dist'!BB76</f>
        <v>2364.1191536904053</v>
      </c>
      <c r="AK76" s="63">
        <f>'Local multi year dist'!BC76</f>
        <v>2364.1191536904053</v>
      </c>
      <c r="AL76" s="63">
        <f>'Local multi year dist'!BD76</f>
        <v>1706.3302787616565</v>
      </c>
      <c r="AN76" s="63">
        <f>'Local multi year dist'!BF76</f>
        <v>0</v>
      </c>
      <c r="AO76" s="63">
        <f>'Local multi year dist'!BG76</f>
        <v>2049.2742960008336</v>
      </c>
      <c r="AP76" s="63">
        <f>'Local multi year dist'!BH76</f>
        <v>2372.1404249097477</v>
      </c>
      <c r="AQ76" s="63">
        <f>'Local multi year dist'!BI76</f>
        <v>923.74512510760565</v>
      </c>
      <c r="AR76" s="63">
        <f>'Local multi year dist'!BJ76</f>
        <v>1013.4942171743878</v>
      </c>
      <c r="AS76" s="63">
        <f>'Local multi year dist'!BK76</f>
        <v>1079.7282465169449</v>
      </c>
      <c r="AT76" s="63">
        <f>'Local multi year dist'!BL76</f>
        <v>812.64165815164199</v>
      </c>
      <c r="AU76" s="63">
        <f>'Local multi year dist'!BM76</f>
        <v>1155.7208440552383</v>
      </c>
      <c r="AV76" s="63">
        <f>'Local multi year dist'!BN76</f>
        <v>1162.6572604897638</v>
      </c>
      <c r="AW76" s="63">
        <f>'Local multi year dist'!BO76</f>
        <v>1081.2936328773285</v>
      </c>
      <c r="AX76" s="63">
        <f>'Local multi year dist'!BP76</f>
        <v>1000.2257793877511</v>
      </c>
      <c r="AY76" s="63">
        <f>'Local multi year dist'!BQ76</f>
        <v>915.89827505746734</v>
      </c>
      <c r="AZ76" s="63">
        <f>'Local multi year dist'!BR76</f>
        <v>715.07119354665235</v>
      </c>
      <c r="BA76" s="63">
        <f>'Local multi year dist'!BS76</f>
        <v>715.07119354665235</v>
      </c>
      <c r="BB76" s="63">
        <f>'Local multi year dist'!BT76</f>
        <v>715.07119354665235</v>
      </c>
      <c r="BC76" s="63">
        <f>'Local multi year dist'!BU76</f>
        <v>591.02978842260131</v>
      </c>
      <c r="BD76" s="63">
        <f>'Local multi year dist'!BV76</f>
        <v>591.02978842260131</v>
      </c>
      <c r="BE76" s="63">
        <f>'Local multi year dist'!BW76</f>
        <v>426.58256969041412</v>
      </c>
      <c r="BF76" s="63"/>
      <c r="BG76" s="63"/>
      <c r="BH76" s="63"/>
      <c r="BI76" s="63"/>
      <c r="BJ76" s="63"/>
      <c r="BK76" s="63"/>
      <c r="BL76" s="63"/>
      <c r="BM76" s="63"/>
      <c r="BN76" s="63"/>
      <c r="BO76" s="63"/>
      <c r="BP76" s="63"/>
      <c r="BQ76" s="63"/>
    </row>
    <row r="77" spans="1:69" x14ac:dyDescent="0.25">
      <c r="A77" t="str">
        <f>'Local multi year dist'!S77</f>
        <v>Lynchburg City</v>
      </c>
      <c r="B77" s="63">
        <f>'Local multi year dist'!T77</f>
        <v>33181.414760112035</v>
      </c>
      <c r="C77" s="63">
        <f>'Local multi year dist'!U77</f>
        <v>210056.44559087401</v>
      </c>
      <c r="D77" s="63">
        <f>'Local multi year dist'!V77</f>
        <v>259053.34662193211</v>
      </c>
      <c r="E77" s="63">
        <f>'Local multi year dist'!W77</f>
        <v>99346.384936925999</v>
      </c>
      <c r="F77" s="63">
        <f>'Local multi year dist'!X77</f>
        <v>106754.110736209</v>
      </c>
      <c r="G77" s="63">
        <f>'Local multi year dist'!Y77</f>
        <v>113454.14808458007</v>
      </c>
      <c r="H77" s="63">
        <f>'Local multi year dist'!Z77</f>
        <v>86436.463443329572</v>
      </c>
      <c r="I77" s="63">
        <f>'Local multi year dist'!AA77</f>
        <v>121141.33315787523</v>
      </c>
      <c r="J77" s="63">
        <f>'Local multi year dist'!AB77</f>
        <v>121692.51841060526</v>
      </c>
      <c r="K77" s="63">
        <f>'Local multi year dist'!AC77</f>
        <v>113939.84343568205</v>
      </c>
      <c r="L77" s="63">
        <f>'Local multi year dist'!AD77</f>
        <v>105736.87234882241</v>
      </c>
      <c r="M77" s="63">
        <f>'Local multi year dist'!AE77</f>
        <v>97206.552902519325</v>
      </c>
      <c r="N77" s="63">
        <f>'Local multi year dist'!AF77</f>
        <v>74182.806830469504</v>
      </c>
      <c r="O77" s="63">
        <f>'Local multi year dist'!AG77</f>
        <v>74182.806830469504</v>
      </c>
      <c r="P77" s="63">
        <f>'Local multi year dist'!AH77</f>
        <v>74182.806830469504</v>
      </c>
      <c r="Q77" s="63">
        <f>'Local multi year dist'!AI77</f>
        <v>61635.147336929112</v>
      </c>
      <c r="R77" s="63">
        <f>'Local multi year dist'!AJ77</f>
        <v>61635.147336929112</v>
      </c>
      <c r="S77" s="63">
        <f>'Local multi year dist'!AK77</f>
        <v>43151.823578600619</v>
      </c>
      <c r="T77" s="63"/>
      <c r="U77" s="63">
        <f>'Local multi year dist'!AM77</f>
        <v>0</v>
      </c>
      <c r="V77" s="63">
        <f>'Local multi year dist'!AN77</f>
        <v>76009.446615303736</v>
      </c>
      <c r="W77" s="63">
        <f>'Local multi year dist'!AO77</f>
        <v>87984.84485119801</v>
      </c>
      <c r="X77" s="63">
        <f>'Local multi year dist'!AP77</f>
        <v>34262.546458536686</v>
      </c>
      <c r="Y77" s="63">
        <f>'Local multi year dist'!AQ77</f>
        <v>37591.421873377338</v>
      </c>
      <c r="Z77" s="63">
        <f>'Local multi year dist'!AR77</f>
        <v>40048.102234446727</v>
      </c>
      <c r="AA77" s="63">
        <f>'Local multi year dist'!AS77</f>
        <v>30141.617865988206</v>
      </c>
      <c r="AB77" s="63">
        <f>'Local multi year dist'!AT77</f>
        <v>42866.736761321619</v>
      </c>
      <c r="AC77" s="63">
        <f>'Local multi year dist'!AU77</f>
        <v>43124.014752711286</v>
      </c>
      <c r="AD77" s="63">
        <f>'Local multi year dist'!AV77</f>
        <v>40106.163837631866</v>
      </c>
      <c r="AE77" s="63">
        <f>'Local multi year dist'!AW77</f>
        <v>37099.283453654811</v>
      </c>
      <c r="AF77" s="63">
        <f>'Local multi year dist'!AX77</f>
        <v>33971.499656677006</v>
      </c>
      <c r="AG77" s="63">
        <f>'Local multi year dist'!AY77</f>
        <v>26522.640633366773</v>
      </c>
      <c r="AH77" s="63">
        <f>'Local multi year dist'!AZ77</f>
        <v>26522.640633366773</v>
      </c>
      <c r="AI77" s="63">
        <f>'Local multi year dist'!BA77</f>
        <v>26522.640633366773</v>
      </c>
      <c r="AJ77" s="63">
        <f>'Local multi year dist'!BB77</f>
        <v>21921.832152401963</v>
      </c>
      <c r="AK77" s="63">
        <f>'Local multi year dist'!BC77</f>
        <v>21921.832152401963</v>
      </c>
      <c r="AL77" s="63">
        <f>'Local multi year dist'!BD77</f>
        <v>15822.33531215356</v>
      </c>
      <c r="AN77" s="63">
        <f>'Local multi year dist'!BF77</f>
        <v>0</v>
      </c>
      <c r="AO77" s="63">
        <f>'Local multi year dist'!BG77</f>
        <v>19002.361653825934</v>
      </c>
      <c r="AP77" s="63">
        <f>'Local multi year dist'!BH77</f>
        <v>21996.211212799502</v>
      </c>
      <c r="AQ77" s="63">
        <f>'Local multi year dist'!BI77</f>
        <v>8565.6366146341716</v>
      </c>
      <c r="AR77" s="63">
        <f>'Local multi year dist'!BJ77</f>
        <v>9397.8554683443344</v>
      </c>
      <c r="AS77" s="63">
        <f>'Local multi year dist'!BK77</f>
        <v>10012.025558611682</v>
      </c>
      <c r="AT77" s="63">
        <f>'Local multi year dist'!BL77</f>
        <v>7535.4044664970515</v>
      </c>
      <c r="AU77" s="63">
        <f>'Local multi year dist'!BM77</f>
        <v>10716.684190330405</v>
      </c>
      <c r="AV77" s="63">
        <f>'Local multi year dist'!BN77</f>
        <v>10781.003688177821</v>
      </c>
      <c r="AW77" s="63">
        <f>'Local multi year dist'!BO77</f>
        <v>10026.540959407967</v>
      </c>
      <c r="AX77" s="63">
        <f>'Local multi year dist'!BP77</f>
        <v>9274.8208634137027</v>
      </c>
      <c r="AY77" s="63">
        <f>'Local multi year dist'!BQ77</f>
        <v>8492.8749141692515</v>
      </c>
      <c r="AZ77" s="63">
        <f>'Local multi year dist'!BR77</f>
        <v>6630.6601583416932</v>
      </c>
      <c r="BA77" s="63">
        <f>'Local multi year dist'!BS77</f>
        <v>6630.6601583416932</v>
      </c>
      <c r="BB77" s="63">
        <f>'Local multi year dist'!BT77</f>
        <v>6630.6601583416932</v>
      </c>
      <c r="BC77" s="63">
        <f>'Local multi year dist'!BU77</f>
        <v>5480.4580381004907</v>
      </c>
      <c r="BD77" s="63">
        <f>'Local multi year dist'!BV77</f>
        <v>5480.4580381004907</v>
      </c>
      <c r="BE77" s="63">
        <f>'Local multi year dist'!BW77</f>
        <v>3955.58382803839</v>
      </c>
      <c r="BF77" s="63"/>
      <c r="BG77" s="63"/>
      <c r="BH77" s="63"/>
      <c r="BI77" s="63"/>
      <c r="BJ77" s="63"/>
      <c r="BK77" s="63"/>
      <c r="BL77" s="63"/>
      <c r="BM77" s="63"/>
      <c r="BN77" s="63"/>
      <c r="BO77" s="63"/>
      <c r="BP77" s="63"/>
      <c r="BQ77" s="63"/>
    </row>
    <row r="78" spans="1:69" x14ac:dyDescent="0.25">
      <c r="A78" t="str">
        <f>'Local multi year dist'!S78</f>
        <v>Madison County</v>
      </c>
      <c r="B78" s="63">
        <f>'Local multi year dist'!T78</f>
        <v>6628.1502523262925</v>
      </c>
      <c r="C78" s="63">
        <f>'Local multi year dist'!U78</f>
        <v>41959.804695235813</v>
      </c>
      <c r="D78" s="63">
        <f>'Local multi year dist'!V78</f>
        <v>51747.175857077062</v>
      </c>
      <c r="E78" s="63">
        <f>'Local multi year dist'!W78</f>
        <v>19844.927383233968</v>
      </c>
      <c r="F78" s="63">
        <f>'Local multi year dist'!X78</f>
        <v>21324.656924022114</v>
      </c>
      <c r="G78" s="63">
        <f>'Local multi year dist'!Y78</f>
        <v>22663.022227679572</v>
      </c>
      <c r="H78" s="63">
        <f>'Local multi year dist'!Z78</f>
        <v>17266.107280959193</v>
      </c>
      <c r="I78" s="63">
        <f>'Local multi year dist'!AA78</f>
        <v>24198.575128350047</v>
      </c>
      <c r="J78" s="63">
        <f>'Local multi year dist'!AB78</f>
        <v>24308.677084471365</v>
      </c>
      <c r="K78" s="63">
        <f>'Local multi year dist'!AC78</f>
        <v>22760.042254921755</v>
      </c>
      <c r="L78" s="63">
        <f>'Local multi year dist'!AD78</f>
        <v>21121.458569678962</v>
      </c>
      <c r="M78" s="63">
        <f>'Local multi year dist'!AE78</f>
        <v>19417.485444988517</v>
      </c>
      <c r="N78" s="63">
        <f>'Local multi year dist'!AF78</f>
        <v>14818.379305596218</v>
      </c>
      <c r="O78" s="63">
        <f>'Local multi year dist'!AG78</f>
        <v>14818.379305596218</v>
      </c>
      <c r="P78" s="63">
        <f>'Local multi year dist'!AH78</f>
        <v>14818.379305596218</v>
      </c>
      <c r="Q78" s="63">
        <f>'Local multi year dist'!AI78</f>
        <v>12311.922813626756</v>
      </c>
      <c r="R78" s="63">
        <f>'Local multi year dist'!AJ78</f>
        <v>12311.922813626756</v>
      </c>
      <c r="S78" s="63">
        <f>'Local multi year dist'!AK78</f>
        <v>8619.7882883724178</v>
      </c>
      <c r="T78" s="63"/>
      <c r="U78" s="63">
        <f>'Local multi year dist'!AM78</f>
        <v>0</v>
      </c>
      <c r="V78" s="63">
        <f>'Local multi year dist'!AN78</f>
        <v>15183.259556733448</v>
      </c>
      <c r="W78" s="63">
        <f>'Local multi year dist'!AO78</f>
        <v>17575.404057285858</v>
      </c>
      <c r="X78" s="63">
        <f>'Local multi year dist'!AP78</f>
        <v>6844.1116087518049</v>
      </c>
      <c r="Y78" s="63">
        <f>'Local multi year dist'!AQ78</f>
        <v>7509.0707908829636</v>
      </c>
      <c r="Z78" s="63">
        <f>'Local multi year dist'!AR78</f>
        <v>7999.8047355573644</v>
      </c>
      <c r="AA78" s="63">
        <f>'Local multi year dist'!AS78</f>
        <v>6020.9359217598922</v>
      </c>
      <c r="AB78" s="63">
        <f>'Local multi year dist'!AT78</f>
        <v>8562.8407991365384</v>
      </c>
      <c r="AC78" s="63">
        <f>'Local multi year dist'!AU78</f>
        <v>8614.2333390832482</v>
      </c>
      <c r="AD78" s="63">
        <f>'Local multi year dist'!AV78</f>
        <v>8011.4028254092973</v>
      </c>
      <c r="AE78" s="63">
        <f>'Local multi year dist'!AW78</f>
        <v>7410.7637291001547</v>
      </c>
      <c r="AF78" s="63">
        <f>'Local multi year dist'!AX78</f>
        <v>6785.9735833803252</v>
      </c>
      <c r="AG78" s="63">
        <f>'Local multi year dist'!AY78</f>
        <v>5298.0274794592879</v>
      </c>
      <c r="AH78" s="63">
        <f>'Local multi year dist'!AZ78</f>
        <v>5298.0274794592879</v>
      </c>
      <c r="AI78" s="63">
        <f>'Local multi year dist'!BA78</f>
        <v>5298.0274794592879</v>
      </c>
      <c r="AJ78" s="63">
        <f>'Local multi year dist'!BB78</f>
        <v>4378.9934324038186</v>
      </c>
      <c r="AK78" s="63">
        <f>'Local multi year dist'!BC78</f>
        <v>4378.9934324038186</v>
      </c>
      <c r="AL78" s="63">
        <f>'Local multi year dist'!BD78</f>
        <v>3160.589039069886</v>
      </c>
      <c r="AN78" s="63">
        <f>'Local multi year dist'!BF78</f>
        <v>0</v>
      </c>
      <c r="AO78" s="63">
        <f>'Local multi year dist'!BG78</f>
        <v>3795.8148891833621</v>
      </c>
      <c r="AP78" s="63">
        <f>'Local multi year dist'!BH78</f>
        <v>4393.8510143214644</v>
      </c>
      <c r="AQ78" s="63">
        <f>'Local multi year dist'!BI78</f>
        <v>1711.0279021879512</v>
      </c>
      <c r="AR78" s="63">
        <f>'Local multi year dist'!BJ78</f>
        <v>1877.2676977207409</v>
      </c>
      <c r="AS78" s="63">
        <f>'Local multi year dist'!BK78</f>
        <v>1999.9511838893411</v>
      </c>
      <c r="AT78" s="63">
        <f>'Local multi year dist'!BL78</f>
        <v>1505.233980439973</v>
      </c>
      <c r="AU78" s="63">
        <f>'Local multi year dist'!BM78</f>
        <v>2140.7101997841346</v>
      </c>
      <c r="AV78" s="63">
        <f>'Local multi year dist'!BN78</f>
        <v>2153.5583347708121</v>
      </c>
      <c r="AW78" s="63">
        <f>'Local multi year dist'!BO78</f>
        <v>2002.8507063523243</v>
      </c>
      <c r="AX78" s="63">
        <f>'Local multi year dist'!BP78</f>
        <v>1852.6909322750387</v>
      </c>
      <c r="AY78" s="63">
        <f>'Local multi year dist'!BQ78</f>
        <v>1696.4933958450813</v>
      </c>
      <c r="AZ78" s="63">
        <f>'Local multi year dist'!BR78</f>
        <v>1324.506869864822</v>
      </c>
      <c r="BA78" s="63">
        <f>'Local multi year dist'!BS78</f>
        <v>1324.506869864822</v>
      </c>
      <c r="BB78" s="63">
        <f>'Local multi year dist'!BT78</f>
        <v>1324.506869864822</v>
      </c>
      <c r="BC78" s="63">
        <f>'Local multi year dist'!BU78</f>
        <v>1094.7483581009546</v>
      </c>
      <c r="BD78" s="63">
        <f>'Local multi year dist'!BV78</f>
        <v>1094.7483581009546</v>
      </c>
      <c r="BE78" s="63">
        <f>'Local multi year dist'!BW78</f>
        <v>790.1472597674715</v>
      </c>
      <c r="BF78" s="63"/>
      <c r="BG78" s="63"/>
      <c r="BH78" s="63"/>
      <c r="BI78" s="63"/>
      <c r="BJ78" s="63"/>
      <c r="BK78" s="63"/>
      <c r="BL78" s="63"/>
      <c r="BM78" s="63"/>
      <c r="BN78" s="63"/>
      <c r="BO78" s="63"/>
      <c r="BP78" s="63"/>
      <c r="BQ78" s="63"/>
    </row>
    <row r="79" spans="1:69" x14ac:dyDescent="0.25">
      <c r="A79" t="str">
        <f>'Local multi year dist'!S79</f>
        <v>Manassas City</v>
      </c>
      <c r="B79" s="63">
        <f>'Local multi year dist'!T79</f>
        <v>18379.901313199291</v>
      </c>
      <c r="C79" s="63">
        <f>'Local multi year dist'!U79</f>
        <v>116354.79584200362</v>
      </c>
      <c r="D79" s="63">
        <f>'Local multi year dist'!V79</f>
        <v>143495.23611901124</v>
      </c>
      <c r="E79" s="63">
        <f>'Local multi year dist'!W79</f>
        <v>55030.10538172855</v>
      </c>
      <c r="F79" s="63">
        <f>'Local multi year dist'!X79</f>
        <v>59133.404476429423</v>
      </c>
      <c r="G79" s="63">
        <f>'Local multi year dist'!Y79</f>
        <v>62844.699674301635</v>
      </c>
      <c r="H79" s="63">
        <f>'Local multi year dist'!Z79</f>
        <v>47879.021417138385</v>
      </c>
      <c r="I79" s="63">
        <f>'Local multi year dist'!AA79</f>
        <v>67102.797288430811</v>
      </c>
      <c r="J79" s="63">
        <f>'Local multi year dist'!AB79</f>
        <v>67408.110688227345</v>
      </c>
      <c r="K79" s="63">
        <f>'Local multi year dist'!AC79</f>
        <v>63113.736805059103</v>
      </c>
      <c r="L79" s="63">
        <f>'Local multi year dist'!AD79</f>
        <v>58569.934193220186</v>
      </c>
      <c r="M79" s="63">
        <f>'Local multi year dist'!AE79</f>
        <v>53844.806264630737</v>
      </c>
      <c r="N79" s="63">
        <f>'Local multi year dist'!AF79</f>
        <v>41091.456724720803</v>
      </c>
      <c r="O79" s="63">
        <f>'Local multi year dist'!AG79</f>
        <v>41091.456724720803</v>
      </c>
      <c r="P79" s="63">
        <f>'Local multi year dist'!AH79</f>
        <v>41091.456724720803</v>
      </c>
      <c r="Q79" s="63">
        <f>'Local multi year dist'!AI79</f>
        <v>34141.037495455792</v>
      </c>
      <c r="R79" s="63">
        <f>'Local multi year dist'!AJ79</f>
        <v>34141.037495455792</v>
      </c>
      <c r="S79" s="63">
        <f>'Local multi year dist'!AK79</f>
        <v>23902.725805793452</v>
      </c>
      <c r="T79" s="63"/>
      <c r="U79" s="63">
        <f>'Local multi year dist'!AM79</f>
        <v>0</v>
      </c>
      <c r="V79" s="63">
        <f>'Local multi year dist'!AN79</f>
        <v>42103.27189965349</v>
      </c>
      <c r="W79" s="63">
        <f>'Local multi year dist'!AO79</f>
        <v>48736.703275418447</v>
      </c>
      <c r="X79" s="63">
        <f>'Local multi year dist'!AP79</f>
        <v>18978.763479483536</v>
      </c>
      <c r="Y79" s="63">
        <f>'Local multi year dist'!AQ79</f>
        <v>20822.699371037423</v>
      </c>
      <c r="Z79" s="63">
        <f>'Local multi year dist'!AR79</f>
        <v>22183.507610257231</v>
      </c>
      <c r="AA79" s="63">
        <f>'Local multi year dist'!AS79</f>
        <v>16696.09224929737</v>
      </c>
      <c r="AB79" s="63">
        <f>'Local multi year dist'!AT79</f>
        <v>23744.810068771261</v>
      </c>
      <c r="AC79" s="63">
        <f>'Local multi year dist'!AU79</f>
        <v>23887.321897335143</v>
      </c>
      <c r="AD79" s="63">
        <f>'Local multi year dist'!AV79</f>
        <v>22215.669184570568</v>
      </c>
      <c r="AE79" s="63">
        <f>'Local multi year dist'!AW79</f>
        <v>20550.093285602885</v>
      </c>
      <c r="AF79" s="63">
        <f>'Local multi year dist'!AX79</f>
        <v>18817.546378453419</v>
      </c>
      <c r="AG79" s="63">
        <f>'Local multi year dist'!AY79</f>
        <v>14691.462703776675</v>
      </c>
      <c r="AH79" s="63">
        <f>'Local multi year dist'!AZ79</f>
        <v>14691.462703776675</v>
      </c>
      <c r="AI79" s="63">
        <f>'Local multi year dist'!BA79</f>
        <v>14691.462703776675</v>
      </c>
      <c r="AJ79" s="63">
        <f>'Local multi year dist'!BB79</f>
        <v>12142.975653046173</v>
      </c>
      <c r="AK79" s="63">
        <f>'Local multi year dist'!BC79</f>
        <v>12142.975653046173</v>
      </c>
      <c r="AL79" s="63">
        <f>'Local multi year dist'!BD79</f>
        <v>8764.3327954575998</v>
      </c>
      <c r="AN79" s="63">
        <f>'Local multi year dist'!BF79</f>
        <v>0</v>
      </c>
      <c r="AO79" s="63">
        <f>'Local multi year dist'!BG79</f>
        <v>10525.817974913372</v>
      </c>
      <c r="AP79" s="63">
        <f>'Local multi year dist'!BH79</f>
        <v>12184.175818854612</v>
      </c>
      <c r="AQ79" s="63">
        <f>'Local multi year dist'!BI79</f>
        <v>4744.6908698708839</v>
      </c>
      <c r="AR79" s="63">
        <f>'Local multi year dist'!BJ79</f>
        <v>5205.6748427593557</v>
      </c>
      <c r="AS79" s="63">
        <f>'Local multi year dist'!BK79</f>
        <v>5545.8769025643078</v>
      </c>
      <c r="AT79" s="63">
        <f>'Local multi year dist'!BL79</f>
        <v>4174.0230623243424</v>
      </c>
      <c r="AU79" s="63">
        <f>'Local multi year dist'!BM79</f>
        <v>5936.2025171928153</v>
      </c>
      <c r="AV79" s="63">
        <f>'Local multi year dist'!BN79</f>
        <v>5971.8304743337858</v>
      </c>
      <c r="AW79" s="63">
        <f>'Local multi year dist'!BO79</f>
        <v>5553.917296142642</v>
      </c>
      <c r="AX79" s="63">
        <f>'Local multi year dist'!BP79</f>
        <v>5137.5233214007212</v>
      </c>
      <c r="AY79" s="63">
        <f>'Local multi year dist'!BQ79</f>
        <v>4704.3865946133546</v>
      </c>
      <c r="AZ79" s="63">
        <f>'Local multi year dist'!BR79</f>
        <v>3672.8656759441687</v>
      </c>
      <c r="BA79" s="63">
        <f>'Local multi year dist'!BS79</f>
        <v>3672.8656759441687</v>
      </c>
      <c r="BB79" s="63">
        <f>'Local multi year dist'!BT79</f>
        <v>3672.8656759441687</v>
      </c>
      <c r="BC79" s="63">
        <f>'Local multi year dist'!BU79</f>
        <v>3035.7439132615432</v>
      </c>
      <c r="BD79" s="63">
        <f>'Local multi year dist'!BV79</f>
        <v>3035.7439132615432</v>
      </c>
      <c r="BE79" s="63">
        <f>'Local multi year dist'!BW79</f>
        <v>2191.0831988643999</v>
      </c>
      <c r="BF79" s="63"/>
      <c r="BG79" s="63"/>
      <c r="BH79" s="63"/>
      <c r="BI79" s="63"/>
      <c r="BJ79" s="63"/>
      <c r="BK79" s="63"/>
      <c r="BL79" s="63"/>
      <c r="BM79" s="63"/>
      <c r="BN79" s="63"/>
      <c r="BO79" s="63"/>
      <c r="BP79" s="63"/>
      <c r="BQ79" s="63"/>
    </row>
    <row r="80" spans="1:69" x14ac:dyDescent="0.25">
      <c r="A80" t="str">
        <f>'Local multi year dist'!S80</f>
        <v>Manassas Park City</v>
      </c>
      <c r="B80" s="63">
        <f>'Local multi year dist'!T80</f>
        <v>3863.0323556502935</v>
      </c>
      <c r="C80" s="63">
        <f>'Local multi year dist'!U80</f>
        <v>24455.100895996333</v>
      </c>
      <c r="D80" s="63">
        <f>'Local multi year dist'!V80</f>
        <v>30159.396971916081</v>
      </c>
      <c r="E80" s="63">
        <f>'Local multi year dist'!W80</f>
        <v>11566.061971823478</v>
      </c>
      <c r="F80" s="63">
        <f>'Local multi year dist'!X80</f>
        <v>12428.481029338043</v>
      </c>
      <c r="G80" s="63">
        <f>'Local multi year dist'!Y80</f>
        <v>13208.509887297909</v>
      </c>
      <c r="H80" s="63">
        <f>'Local multi year dist'!Z80</f>
        <v>10063.06866068174</v>
      </c>
      <c r="I80" s="63">
        <f>'Local multi year dist'!AA80</f>
        <v>14103.464031860456</v>
      </c>
      <c r="J80" s="63">
        <f>'Local multi year dist'!AB80</f>
        <v>14167.633883587605</v>
      </c>
      <c r="K80" s="63">
        <f>'Local multi year dist'!AC80</f>
        <v>13265.055301948263</v>
      </c>
      <c r="L80" s="63">
        <f>'Local multi year dist'!AD80</f>
        <v>12310.052540610437</v>
      </c>
      <c r="M80" s="63">
        <f>'Local multi year dist'!AE80</f>
        <v>11316.939369778584</v>
      </c>
      <c r="N80" s="63">
        <f>'Local multi year dist'!AF80</f>
        <v>8636.4787363904343</v>
      </c>
      <c r="O80" s="63">
        <f>'Local multi year dist'!AG80</f>
        <v>8636.4787363904343</v>
      </c>
      <c r="P80" s="63">
        <f>'Local multi year dist'!AH80</f>
        <v>8636.4787363904343</v>
      </c>
      <c r="Q80" s="63">
        <f>'Local multi year dist'!AI80</f>
        <v>7175.6605355493366</v>
      </c>
      <c r="R80" s="63">
        <f>'Local multi year dist'!AJ80</f>
        <v>7175.6605355493366</v>
      </c>
      <c r="S80" s="63">
        <f>'Local multi year dist'!AK80</f>
        <v>5023.8029901557038</v>
      </c>
      <c r="T80" s="63"/>
      <c r="U80" s="63">
        <f>'Local multi year dist'!AM80</f>
        <v>0</v>
      </c>
      <c r="V80" s="63">
        <f>'Local multi year dist'!AN80</f>
        <v>8849.1390054581443</v>
      </c>
      <c r="W80" s="63">
        <f>'Local multi year dist'!AO80</f>
        <v>10243.333653019365</v>
      </c>
      <c r="X80" s="63">
        <f>'Local multi year dist'!AP80</f>
        <v>3988.8994038737515</v>
      </c>
      <c r="Y80" s="63">
        <f>'Local multi year dist'!AQ80</f>
        <v>4376.4523014348561</v>
      </c>
      <c r="Z80" s="63">
        <f>'Local multi year dist'!AR80</f>
        <v>4662.4628826868075</v>
      </c>
      <c r="AA80" s="63">
        <f>'Local multi year dist'!AS80</f>
        <v>3509.1344329275444</v>
      </c>
      <c r="AB80" s="63">
        <f>'Local multi year dist'!AT80</f>
        <v>4990.6127356930747</v>
      </c>
      <c r="AC80" s="63">
        <f>'Local multi year dist'!AU80</f>
        <v>5020.5654430239792</v>
      </c>
      <c r="AD80" s="63">
        <f>'Local multi year dist'!AV80</f>
        <v>4669.2225056066454</v>
      </c>
      <c r="AE80" s="63">
        <f>'Local multi year dist'!AW80</f>
        <v>4319.1567746289247</v>
      </c>
      <c r="AF80" s="63">
        <f>'Local multi year dist'!AX80</f>
        <v>3955.0152786572448</v>
      </c>
      <c r="AG80" s="63">
        <f>'Local multi year dist'!AY80</f>
        <v>3087.8074266787262</v>
      </c>
      <c r="AH80" s="63">
        <f>'Local multi year dist'!AZ80</f>
        <v>3087.8074266787262</v>
      </c>
      <c r="AI80" s="63">
        <f>'Local multi year dist'!BA80</f>
        <v>3087.8074266787262</v>
      </c>
      <c r="AJ80" s="63">
        <f>'Local multi year dist'!BB80</f>
        <v>2552.1740863703235</v>
      </c>
      <c r="AK80" s="63">
        <f>'Local multi year dist'!BC80</f>
        <v>2552.1740863703235</v>
      </c>
      <c r="AL80" s="63">
        <f>'Local multi year dist'!BD80</f>
        <v>1842.0610963904244</v>
      </c>
      <c r="AN80" s="63">
        <f>'Local multi year dist'!BF80</f>
        <v>0</v>
      </c>
      <c r="AO80" s="63">
        <f>'Local multi year dist'!BG80</f>
        <v>2212.2847513645361</v>
      </c>
      <c r="AP80" s="63">
        <f>'Local multi year dist'!BH80</f>
        <v>2560.8334132548412</v>
      </c>
      <c r="AQ80" s="63">
        <f>'Local multi year dist'!BI80</f>
        <v>997.22485096843786</v>
      </c>
      <c r="AR80" s="63">
        <f>'Local multi year dist'!BJ80</f>
        <v>1094.113075358714</v>
      </c>
      <c r="AS80" s="63">
        <f>'Local multi year dist'!BK80</f>
        <v>1165.6157206717019</v>
      </c>
      <c r="AT80" s="63">
        <f>'Local multi year dist'!BL80</f>
        <v>877.28360823188609</v>
      </c>
      <c r="AU80" s="63">
        <f>'Local multi year dist'!BM80</f>
        <v>1247.6531839232687</v>
      </c>
      <c r="AV80" s="63">
        <f>'Local multi year dist'!BN80</f>
        <v>1255.1413607559948</v>
      </c>
      <c r="AW80" s="63">
        <f>'Local multi year dist'!BO80</f>
        <v>1167.3056264016614</v>
      </c>
      <c r="AX80" s="63">
        <f>'Local multi year dist'!BP80</f>
        <v>1079.7891936572312</v>
      </c>
      <c r="AY80" s="63">
        <f>'Local multi year dist'!BQ80</f>
        <v>988.75381966431121</v>
      </c>
      <c r="AZ80" s="63">
        <f>'Local multi year dist'!BR80</f>
        <v>771.95185666968155</v>
      </c>
      <c r="BA80" s="63">
        <f>'Local multi year dist'!BS80</f>
        <v>771.95185666968155</v>
      </c>
      <c r="BB80" s="63">
        <f>'Local multi year dist'!BT80</f>
        <v>771.95185666968155</v>
      </c>
      <c r="BC80" s="63">
        <f>'Local multi year dist'!BU80</f>
        <v>638.04352159258087</v>
      </c>
      <c r="BD80" s="63">
        <f>'Local multi year dist'!BV80</f>
        <v>638.04352159258087</v>
      </c>
      <c r="BE80" s="63">
        <f>'Local multi year dist'!BW80</f>
        <v>460.5152740976061</v>
      </c>
      <c r="BF80" s="63"/>
      <c r="BG80" s="63"/>
      <c r="BH80" s="63"/>
      <c r="BI80" s="63"/>
      <c r="BJ80" s="63"/>
      <c r="BK80" s="63"/>
      <c r="BL80" s="63"/>
      <c r="BM80" s="63"/>
      <c r="BN80" s="63"/>
      <c r="BO80" s="63"/>
      <c r="BP80" s="63"/>
      <c r="BQ80" s="63"/>
    </row>
    <row r="81" spans="1:69" x14ac:dyDescent="0.25">
      <c r="A81" t="str">
        <f>'Local multi year dist'!S81</f>
        <v>Martinsville City</v>
      </c>
      <c r="B81" s="63">
        <f>'Local multi year dist'!T81</f>
        <v>20087.768249381526</v>
      </c>
      <c r="C81" s="63">
        <f>'Local multi year dist'!U81</f>
        <v>127166.52465918094</v>
      </c>
      <c r="D81" s="63">
        <f>'Local multi year dist'!V81</f>
        <v>156828.86425396363</v>
      </c>
      <c r="E81" s="63">
        <f>'Local multi year dist'!W81</f>
        <v>60143.522253482093</v>
      </c>
      <c r="F81" s="63">
        <f>'Local multi year dist'!X81</f>
        <v>64628.101352557824</v>
      </c>
      <c r="G81" s="63">
        <f>'Local multi year dist'!Y81</f>
        <v>68684.25141394914</v>
      </c>
      <c r="H81" s="63">
        <f>'Local multi year dist'!Z81</f>
        <v>52327.957035545049</v>
      </c>
      <c r="I81" s="63">
        <f>'Local multi year dist'!AA81</f>
        <v>73338.012965674381</v>
      </c>
      <c r="J81" s="63">
        <f>'Local multi year dist'!AB81</f>
        <v>73671.696194655553</v>
      </c>
      <c r="K81" s="63">
        <f>'Local multi year dist'!AC81</f>
        <v>68978.287570130968</v>
      </c>
      <c r="L81" s="63">
        <f>'Local multi year dist'!AD81</f>
        <v>64012.273211174281</v>
      </c>
      <c r="M81" s="63">
        <f>'Local multi year dist'!AE81</f>
        <v>58848.084722848645</v>
      </c>
      <c r="N81" s="63">
        <f>'Local multi year dist'!AF81</f>
        <v>44909.68942923026</v>
      </c>
      <c r="O81" s="63">
        <f>'Local multi year dist'!AG81</f>
        <v>44909.68942923026</v>
      </c>
      <c r="P81" s="63">
        <f>'Local multi year dist'!AH81</f>
        <v>44909.68942923026</v>
      </c>
      <c r="Q81" s="63">
        <f>'Local multi year dist'!AI81</f>
        <v>37313.434784856552</v>
      </c>
      <c r="R81" s="63">
        <f>'Local multi year dist'!AJ81</f>
        <v>37313.434784856552</v>
      </c>
      <c r="S81" s="63">
        <f>'Local multi year dist'!AK81</f>
        <v>26123.775548809659</v>
      </c>
      <c r="T81" s="63"/>
      <c r="U81" s="63">
        <f>'Local multi year dist'!AM81</f>
        <v>0</v>
      </c>
      <c r="V81" s="63">
        <f>'Local multi year dist'!AN81</f>
        <v>46015.52282838236</v>
      </c>
      <c r="W81" s="63">
        <f>'Local multi year dist'!AO81</f>
        <v>53265.334995700701</v>
      </c>
      <c r="X81" s="63">
        <f>'Local multi year dist'!AP81</f>
        <v>20742.276900143508</v>
      </c>
      <c r="Y81" s="63">
        <f>'Local multi year dist'!AQ81</f>
        <v>22757.551967461251</v>
      </c>
      <c r="Z81" s="63">
        <f>'Local multi year dist'!AR81</f>
        <v>24244.806989971399</v>
      </c>
      <c r="AA81" s="63">
        <f>'Local multi year dist'!AS81</f>
        <v>18247.499051223233</v>
      </c>
      <c r="AB81" s="63">
        <f>'Local multi year dist'!AT81</f>
        <v>25951.186225603989</v>
      </c>
      <c r="AC81" s="63">
        <f>'Local multi year dist'!AU81</f>
        <v>26106.940303724692</v>
      </c>
      <c r="AD81" s="63">
        <f>'Local multi year dist'!AV81</f>
        <v>24279.957029154561</v>
      </c>
      <c r="AE81" s="63">
        <f>'Local multi year dist'!AW81</f>
        <v>22459.615228070412</v>
      </c>
      <c r="AF81" s="63">
        <f>'Local multi year dist'!AX81</f>
        <v>20566.079449017674</v>
      </c>
      <c r="AG81" s="63">
        <f>'Local multi year dist'!AY81</f>
        <v>16056.598618729377</v>
      </c>
      <c r="AH81" s="63">
        <f>'Local multi year dist'!AZ81</f>
        <v>16056.598618729377</v>
      </c>
      <c r="AI81" s="63">
        <f>'Local multi year dist'!BA81</f>
        <v>16056.598618729377</v>
      </c>
      <c r="AJ81" s="63">
        <f>'Local multi year dist'!BB81</f>
        <v>13271.305249125684</v>
      </c>
      <c r="AK81" s="63">
        <f>'Local multi year dist'!BC81</f>
        <v>13271.305249125684</v>
      </c>
      <c r="AL81" s="63">
        <f>'Local multi year dist'!BD81</f>
        <v>9578.7177012302072</v>
      </c>
      <c r="AN81" s="63">
        <f>'Local multi year dist'!BF81</f>
        <v>0</v>
      </c>
      <c r="AO81" s="63">
        <f>'Local multi year dist'!BG81</f>
        <v>11503.88070709559</v>
      </c>
      <c r="AP81" s="63">
        <f>'Local multi year dist'!BH81</f>
        <v>13316.333748925175</v>
      </c>
      <c r="AQ81" s="63">
        <f>'Local multi year dist'!BI81</f>
        <v>5185.569225035877</v>
      </c>
      <c r="AR81" s="63">
        <f>'Local multi year dist'!BJ81</f>
        <v>5689.3879918653129</v>
      </c>
      <c r="AS81" s="63">
        <f>'Local multi year dist'!BK81</f>
        <v>6061.2017474928498</v>
      </c>
      <c r="AT81" s="63">
        <f>'Local multi year dist'!BL81</f>
        <v>4561.8747628058081</v>
      </c>
      <c r="AU81" s="63">
        <f>'Local multi year dist'!BM81</f>
        <v>6487.7965564009974</v>
      </c>
      <c r="AV81" s="63">
        <f>'Local multi year dist'!BN81</f>
        <v>6526.735075931173</v>
      </c>
      <c r="AW81" s="63">
        <f>'Local multi year dist'!BO81</f>
        <v>6069.9892572886401</v>
      </c>
      <c r="AX81" s="63">
        <f>'Local multi year dist'!BP81</f>
        <v>5614.903807017603</v>
      </c>
      <c r="AY81" s="63">
        <f>'Local multi year dist'!BQ81</f>
        <v>5141.5198622544185</v>
      </c>
      <c r="AZ81" s="63">
        <f>'Local multi year dist'!BR81</f>
        <v>4014.1496546823441</v>
      </c>
      <c r="BA81" s="63">
        <f>'Local multi year dist'!BS81</f>
        <v>4014.1496546823441</v>
      </c>
      <c r="BB81" s="63">
        <f>'Local multi year dist'!BT81</f>
        <v>4014.1496546823441</v>
      </c>
      <c r="BC81" s="63">
        <f>'Local multi year dist'!BU81</f>
        <v>3317.826312281421</v>
      </c>
      <c r="BD81" s="63">
        <f>'Local multi year dist'!BV81</f>
        <v>3317.826312281421</v>
      </c>
      <c r="BE81" s="63">
        <f>'Local multi year dist'!BW81</f>
        <v>2394.6794253075518</v>
      </c>
      <c r="BF81" s="63"/>
      <c r="BG81" s="63"/>
      <c r="BH81" s="63"/>
      <c r="BI81" s="63"/>
      <c r="BJ81" s="63"/>
      <c r="BK81" s="63"/>
      <c r="BL81" s="63"/>
      <c r="BM81" s="63"/>
      <c r="BN81" s="63"/>
      <c r="BO81" s="63"/>
      <c r="BP81" s="63"/>
      <c r="BQ81" s="63"/>
    </row>
    <row r="82" spans="1:69" x14ac:dyDescent="0.25">
      <c r="A82" t="str">
        <f>'Local multi year dist'!S82</f>
        <v>Mathews County</v>
      </c>
      <c r="B82" s="63">
        <f>'Local multi year dist'!T82</f>
        <v>3578.3878662865877</v>
      </c>
      <c r="C82" s="63">
        <f>'Local multi year dist'!U82</f>
        <v>22653.146093133448</v>
      </c>
      <c r="D82" s="63">
        <f>'Local multi year dist'!V82</f>
        <v>27937.125616090685</v>
      </c>
      <c r="E82" s="63">
        <f>'Local multi year dist'!W82</f>
        <v>10713.825826531223</v>
      </c>
      <c r="F82" s="63">
        <f>'Local multi year dist'!X82</f>
        <v>11512.698216649977</v>
      </c>
      <c r="G82" s="63">
        <f>'Local multi year dist'!Y82</f>
        <v>12235.251264023327</v>
      </c>
      <c r="H82" s="63">
        <f>'Local multi year dist'!Z82</f>
        <v>9321.5793909472959</v>
      </c>
      <c r="I82" s="63">
        <f>'Local multi year dist'!AA82</f>
        <v>13064.261418986529</v>
      </c>
      <c r="J82" s="63">
        <f>'Local multi year dist'!AB82</f>
        <v>13123.702965849572</v>
      </c>
      <c r="K82" s="63">
        <f>'Local multi year dist'!AC82</f>
        <v>12287.630174436286</v>
      </c>
      <c r="L82" s="63">
        <f>'Local multi year dist'!AD82</f>
        <v>11402.99603761809</v>
      </c>
      <c r="M82" s="63">
        <f>'Local multi year dist'!AE82</f>
        <v>10483.059626742268</v>
      </c>
      <c r="N82" s="63">
        <f>'Local multi year dist'!AF82</f>
        <v>8000.1066189721923</v>
      </c>
      <c r="O82" s="63">
        <f>'Local multi year dist'!AG82</f>
        <v>8000.1066189721923</v>
      </c>
      <c r="P82" s="63">
        <f>'Local multi year dist'!AH82</f>
        <v>8000.1066189721923</v>
      </c>
      <c r="Q82" s="63">
        <f>'Local multi year dist'!AI82</f>
        <v>6646.9276539825432</v>
      </c>
      <c r="R82" s="63">
        <f>'Local multi year dist'!AJ82</f>
        <v>6646.9276539825432</v>
      </c>
      <c r="S82" s="63">
        <f>'Local multi year dist'!AK82</f>
        <v>4653.6280329863366</v>
      </c>
      <c r="T82" s="63"/>
      <c r="U82" s="63">
        <f>'Local multi year dist'!AM82</f>
        <v>0</v>
      </c>
      <c r="V82" s="63">
        <f>'Local multi year dist'!AN82</f>
        <v>8197.0971840033344</v>
      </c>
      <c r="W82" s="63">
        <f>'Local multi year dist'!AO82</f>
        <v>9488.5616996389908</v>
      </c>
      <c r="X82" s="63">
        <f>'Local multi year dist'!AP82</f>
        <v>3694.9805004304226</v>
      </c>
      <c r="Y82" s="63">
        <f>'Local multi year dist'!AQ82</f>
        <v>4053.9768686975513</v>
      </c>
      <c r="Z82" s="63">
        <f>'Local multi year dist'!AR82</f>
        <v>4318.9129860677795</v>
      </c>
      <c r="AA82" s="63">
        <f>'Local multi year dist'!AS82</f>
        <v>3250.566632606568</v>
      </c>
      <c r="AB82" s="63">
        <f>'Local multi year dist'!AT82</f>
        <v>4622.8833762209533</v>
      </c>
      <c r="AC82" s="63">
        <f>'Local multi year dist'!AU82</f>
        <v>4650.629041959055</v>
      </c>
      <c r="AD82" s="63">
        <f>'Local multi year dist'!AV82</f>
        <v>4325.174531509314</v>
      </c>
      <c r="AE82" s="63">
        <f>'Local multi year dist'!AW82</f>
        <v>4000.9031175510045</v>
      </c>
      <c r="AF82" s="63">
        <f>'Local multi year dist'!AX82</f>
        <v>3663.5931002298694</v>
      </c>
      <c r="AG82" s="63">
        <f>'Local multi year dist'!AY82</f>
        <v>2860.2847741866094</v>
      </c>
      <c r="AH82" s="63">
        <f>'Local multi year dist'!AZ82</f>
        <v>2860.2847741866094</v>
      </c>
      <c r="AI82" s="63">
        <f>'Local multi year dist'!BA82</f>
        <v>2860.2847741866094</v>
      </c>
      <c r="AJ82" s="63">
        <f>'Local multi year dist'!BB82</f>
        <v>2364.1191536904053</v>
      </c>
      <c r="AK82" s="63">
        <f>'Local multi year dist'!BC82</f>
        <v>2364.1191536904053</v>
      </c>
      <c r="AL82" s="63">
        <f>'Local multi year dist'!BD82</f>
        <v>1706.3302787616565</v>
      </c>
      <c r="AN82" s="63">
        <f>'Local multi year dist'!BF82</f>
        <v>0</v>
      </c>
      <c r="AO82" s="63">
        <f>'Local multi year dist'!BG82</f>
        <v>2049.2742960008336</v>
      </c>
      <c r="AP82" s="63">
        <f>'Local multi year dist'!BH82</f>
        <v>2372.1404249097477</v>
      </c>
      <c r="AQ82" s="63">
        <f>'Local multi year dist'!BI82</f>
        <v>923.74512510760565</v>
      </c>
      <c r="AR82" s="63">
        <f>'Local multi year dist'!BJ82</f>
        <v>1013.4942171743878</v>
      </c>
      <c r="AS82" s="63">
        <f>'Local multi year dist'!BK82</f>
        <v>1079.7282465169449</v>
      </c>
      <c r="AT82" s="63">
        <f>'Local multi year dist'!BL82</f>
        <v>812.64165815164199</v>
      </c>
      <c r="AU82" s="63">
        <f>'Local multi year dist'!BM82</f>
        <v>1155.7208440552383</v>
      </c>
      <c r="AV82" s="63">
        <f>'Local multi year dist'!BN82</f>
        <v>1162.6572604897638</v>
      </c>
      <c r="AW82" s="63">
        <f>'Local multi year dist'!BO82</f>
        <v>1081.2936328773285</v>
      </c>
      <c r="AX82" s="63">
        <f>'Local multi year dist'!BP82</f>
        <v>1000.2257793877511</v>
      </c>
      <c r="AY82" s="63">
        <f>'Local multi year dist'!BQ82</f>
        <v>915.89827505746734</v>
      </c>
      <c r="AZ82" s="63">
        <f>'Local multi year dist'!BR82</f>
        <v>715.07119354665235</v>
      </c>
      <c r="BA82" s="63">
        <f>'Local multi year dist'!BS82</f>
        <v>715.07119354665235</v>
      </c>
      <c r="BB82" s="63">
        <f>'Local multi year dist'!BT82</f>
        <v>715.07119354665235</v>
      </c>
      <c r="BC82" s="63">
        <f>'Local multi year dist'!BU82</f>
        <v>591.02978842260131</v>
      </c>
      <c r="BD82" s="63">
        <f>'Local multi year dist'!BV82</f>
        <v>591.02978842260131</v>
      </c>
      <c r="BE82" s="63">
        <f>'Local multi year dist'!BW82</f>
        <v>426.58256969041412</v>
      </c>
      <c r="BF82" s="63"/>
      <c r="BG82" s="63"/>
      <c r="BH82" s="63"/>
      <c r="BI82" s="63"/>
      <c r="BJ82" s="63"/>
      <c r="BK82" s="63"/>
      <c r="BL82" s="63"/>
      <c r="BM82" s="63"/>
      <c r="BN82" s="63"/>
      <c r="BO82" s="63"/>
      <c r="BP82" s="63"/>
      <c r="BQ82" s="63"/>
    </row>
    <row r="83" spans="1:69" x14ac:dyDescent="0.25">
      <c r="A83" t="str">
        <f>'Local multi year dist'!S83</f>
        <v>Mecklenburg County</v>
      </c>
      <c r="B83" s="63">
        <f>'Local multi year dist'!T83</f>
        <v>13988.243477302116</v>
      </c>
      <c r="C83" s="63">
        <f>'Local multi year dist'!U83</f>
        <v>88553.207454976204</v>
      </c>
      <c r="D83" s="63">
        <f>'Local multi year dist'!V83</f>
        <v>109208.76377199087</v>
      </c>
      <c r="E83" s="63">
        <f>'Local multi year dist'!W83</f>
        <v>41881.319140076594</v>
      </c>
      <c r="F83" s="63">
        <f>'Local multi year dist'!X83</f>
        <v>45004.183937813548</v>
      </c>
      <c r="G83" s="63">
        <f>'Local multi year dist'!Y83</f>
        <v>47828.709486636639</v>
      </c>
      <c r="H83" s="63">
        <f>'Local multi year dist'!Z83</f>
        <v>36438.901255521247</v>
      </c>
      <c r="I83" s="63">
        <f>'Local multi year dist'!AA83</f>
        <v>51069.385546947342</v>
      </c>
      <c r="J83" s="63">
        <f>'Local multi year dist'!AB83</f>
        <v>51301.747957411964</v>
      </c>
      <c r="K83" s="63">
        <f>'Local multi year dist'!AC83</f>
        <v>48033.463409160024</v>
      </c>
      <c r="L83" s="63">
        <f>'Local multi year dist'!AD83</f>
        <v>44575.348147052529</v>
      </c>
      <c r="M83" s="63">
        <f>'Local multi year dist'!AE83</f>
        <v>40979.233086356136</v>
      </c>
      <c r="N83" s="63">
        <f>'Local multi year dist'!AF83</f>
        <v>31273.144055982204</v>
      </c>
      <c r="O83" s="63">
        <f>'Local multi year dist'!AG83</f>
        <v>31273.144055982204</v>
      </c>
      <c r="P83" s="63">
        <f>'Local multi year dist'!AH83</f>
        <v>31273.144055982204</v>
      </c>
      <c r="Q83" s="63">
        <f>'Local multi year dist'!AI83</f>
        <v>25983.444465568125</v>
      </c>
      <c r="R83" s="63">
        <f>'Local multi year dist'!AJ83</f>
        <v>25983.444465568125</v>
      </c>
      <c r="S83" s="63">
        <f>'Local multi year dist'!AK83</f>
        <v>18191.455038037497</v>
      </c>
      <c r="T83" s="63"/>
      <c r="U83" s="63">
        <f>'Local multi year dist'!AM83</f>
        <v>0</v>
      </c>
      <c r="V83" s="63">
        <f>'Local multi year dist'!AN83</f>
        <v>32043.198082922128</v>
      </c>
      <c r="W83" s="63">
        <f>'Local multi year dist'!AO83</f>
        <v>37091.650280406961</v>
      </c>
      <c r="X83" s="63">
        <f>'Local multi year dist'!AP83</f>
        <v>14444.014683500744</v>
      </c>
      <c r="Y83" s="63">
        <f>'Local multi year dist'!AQ83</f>
        <v>15847.364123090427</v>
      </c>
      <c r="Z83" s="63">
        <f>'Local multi year dist'!AR83</f>
        <v>16883.023490992229</v>
      </c>
      <c r="AA83" s="63">
        <f>'Local multi year dist'!AS83</f>
        <v>12706.760472916583</v>
      </c>
      <c r="AB83" s="63">
        <f>'Local multi year dist'!AT83</f>
        <v>18071.271379772817</v>
      </c>
      <c r="AC83" s="63">
        <f>'Local multi year dist'!AU83</f>
        <v>18179.731709476306</v>
      </c>
      <c r="AD83" s="63">
        <f>'Local multi year dist'!AV83</f>
        <v>16907.50044135459</v>
      </c>
      <c r="AE83" s="63">
        <f>'Local multi year dist'!AW83</f>
        <v>15639.894004972108</v>
      </c>
      <c r="AF83" s="63">
        <f>'Local multi year dist'!AX83</f>
        <v>14321.318482716761</v>
      </c>
      <c r="AG83" s="63">
        <f>'Local multi year dist'!AY83</f>
        <v>11181.113208184019</v>
      </c>
      <c r="AH83" s="63">
        <f>'Local multi year dist'!AZ83</f>
        <v>11181.113208184019</v>
      </c>
      <c r="AI83" s="63">
        <f>'Local multi year dist'!BA83</f>
        <v>11181.113208184019</v>
      </c>
      <c r="AJ83" s="63">
        <f>'Local multi year dist'!BB83</f>
        <v>9241.5566916988573</v>
      </c>
      <c r="AK83" s="63">
        <f>'Local multi year dist'!BC83</f>
        <v>9241.5566916988573</v>
      </c>
      <c r="AL83" s="63">
        <f>'Local multi year dist'!BD83</f>
        <v>6670.2001806137478</v>
      </c>
      <c r="AN83" s="63">
        <f>'Local multi year dist'!BF83</f>
        <v>0</v>
      </c>
      <c r="AO83" s="63">
        <f>'Local multi year dist'!BG83</f>
        <v>8010.7995207305321</v>
      </c>
      <c r="AP83" s="63">
        <f>'Local multi year dist'!BH83</f>
        <v>9272.9125701017401</v>
      </c>
      <c r="AQ83" s="63">
        <f>'Local multi year dist'!BI83</f>
        <v>3611.0036708751859</v>
      </c>
      <c r="AR83" s="63">
        <f>'Local multi year dist'!BJ83</f>
        <v>3961.8410307726067</v>
      </c>
      <c r="AS83" s="63">
        <f>'Local multi year dist'!BK83</f>
        <v>4220.7558727480573</v>
      </c>
      <c r="AT83" s="63">
        <f>'Local multi year dist'!BL83</f>
        <v>3176.6901182291458</v>
      </c>
      <c r="AU83" s="63">
        <f>'Local multi year dist'!BM83</f>
        <v>4517.8178449432044</v>
      </c>
      <c r="AV83" s="63">
        <f>'Local multi year dist'!BN83</f>
        <v>4544.9329273690764</v>
      </c>
      <c r="AW83" s="63">
        <f>'Local multi year dist'!BO83</f>
        <v>4226.8751103386476</v>
      </c>
      <c r="AX83" s="63">
        <f>'Local multi year dist'!BP83</f>
        <v>3909.9735012430269</v>
      </c>
      <c r="AY83" s="63">
        <f>'Local multi year dist'!BQ83</f>
        <v>3580.3296206791902</v>
      </c>
      <c r="AZ83" s="63">
        <f>'Local multi year dist'!BR83</f>
        <v>2795.2783020460047</v>
      </c>
      <c r="BA83" s="63">
        <f>'Local multi year dist'!BS83</f>
        <v>2795.2783020460047</v>
      </c>
      <c r="BB83" s="63">
        <f>'Local multi year dist'!BT83</f>
        <v>2795.2783020460047</v>
      </c>
      <c r="BC83" s="63">
        <f>'Local multi year dist'!BU83</f>
        <v>2310.3891729247143</v>
      </c>
      <c r="BD83" s="63">
        <f>'Local multi year dist'!BV83</f>
        <v>2310.3891729247143</v>
      </c>
      <c r="BE83" s="63">
        <f>'Local multi year dist'!BW83</f>
        <v>1667.5500451534369</v>
      </c>
      <c r="BF83" s="63"/>
      <c r="BG83" s="63"/>
      <c r="BH83" s="63"/>
      <c r="BI83" s="63"/>
      <c r="BJ83" s="63"/>
      <c r="BK83" s="63"/>
      <c r="BL83" s="63"/>
      <c r="BM83" s="63"/>
      <c r="BN83" s="63"/>
      <c r="BO83" s="63"/>
      <c r="BP83" s="63"/>
      <c r="BQ83" s="63"/>
    </row>
    <row r="84" spans="1:69" x14ac:dyDescent="0.25">
      <c r="A84" t="str">
        <f>'Local multi year dist'!S84</f>
        <v>Middlesex County</v>
      </c>
      <c r="B84" s="63">
        <f>'Local multi year dist'!T84</f>
        <v>4391.6578358971756</v>
      </c>
      <c r="C84" s="63">
        <f>'Local multi year dist'!U84</f>
        <v>27801.588387027412</v>
      </c>
      <c r="D84" s="63">
        <f>'Local multi year dist'!V84</f>
        <v>34286.47234702039</v>
      </c>
      <c r="E84" s="63">
        <f>'Local multi year dist'!W84</f>
        <v>13148.786241651955</v>
      </c>
      <c r="F84" s="63">
        <f>'Local multi year dist'!X84</f>
        <v>14129.22053861588</v>
      </c>
      <c r="G84" s="63">
        <f>'Local multi year dist'!Y84</f>
        <v>15015.990187664993</v>
      </c>
      <c r="H84" s="63">
        <f>'Local multi year dist'!Z84</f>
        <v>11440.120161617137</v>
      </c>
      <c r="I84" s="63">
        <f>'Local multi year dist'!AA84</f>
        <v>16033.411741483467</v>
      </c>
      <c r="J84" s="63">
        <f>'Local multi year dist'!AB84</f>
        <v>16106.362730815383</v>
      </c>
      <c r="K84" s="63">
        <f>'Local multi year dist'!AC84</f>
        <v>15080.273395899078</v>
      </c>
      <c r="L84" s="63">
        <f>'Local multi year dist'!AD84</f>
        <v>13994.586046167655</v>
      </c>
      <c r="M84" s="63">
        <f>'Local multi year dist'!AE84</f>
        <v>12865.573178274601</v>
      </c>
      <c r="N84" s="63">
        <f>'Local multi year dist'!AF84</f>
        <v>9818.3126687385993</v>
      </c>
      <c r="O84" s="63">
        <f>'Local multi year dist'!AG84</f>
        <v>9818.3126687385993</v>
      </c>
      <c r="P84" s="63">
        <f>'Local multi year dist'!AH84</f>
        <v>9818.3126687385993</v>
      </c>
      <c r="Q84" s="63">
        <f>'Local multi year dist'!AI84</f>
        <v>8157.5930298876665</v>
      </c>
      <c r="R84" s="63">
        <f>'Local multi year dist'!AJ84</f>
        <v>8157.5930298876665</v>
      </c>
      <c r="S84" s="63">
        <f>'Local multi year dist'!AK84</f>
        <v>5711.2707677559583</v>
      </c>
      <c r="T84" s="63"/>
      <c r="U84" s="63">
        <f>'Local multi year dist'!AM84</f>
        <v>0</v>
      </c>
      <c r="V84" s="63">
        <f>'Local multi year dist'!AN84</f>
        <v>10060.073816731365</v>
      </c>
      <c r="W84" s="63">
        <f>'Local multi year dist'!AO84</f>
        <v>11645.052995011489</v>
      </c>
      <c r="X84" s="63">
        <f>'Local multi year dist'!AP84</f>
        <v>4534.7487959827913</v>
      </c>
      <c r="Y84" s="63">
        <f>'Local multi year dist'!AQ84</f>
        <v>4975.3352479469941</v>
      </c>
      <c r="Z84" s="63">
        <f>'Local multi year dist'!AR84</f>
        <v>5300.4841192650019</v>
      </c>
      <c r="AA84" s="63">
        <f>'Local multi year dist'!AS84</f>
        <v>3989.3317763807877</v>
      </c>
      <c r="AB84" s="63">
        <f>'Local multi year dist'!AT84</f>
        <v>5673.5386889984429</v>
      </c>
      <c r="AC84" s="63">
        <f>'Local multi year dist'!AU84</f>
        <v>5707.5901878588393</v>
      </c>
      <c r="AD84" s="63">
        <f>'Local multi year dist'!AV84</f>
        <v>5308.1687432159761</v>
      </c>
      <c r="AE84" s="63">
        <f>'Local multi year dist'!AW84</f>
        <v>4910.199280630778</v>
      </c>
      <c r="AF84" s="63">
        <f>'Local multi year dist'!AX84</f>
        <v>4496.227895736658</v>
      </c>
      <c r="AG84" s="63">
        <f>'Local multi year dist'!AY84</f>
        <v>3510.3494955926571</v>
      </c>
      <c r="AH84" s="63">
        <f>'Local multi year dist'!AZ84</f>
        <v>3510.3494955926571</v>
      </c>
      <c r="AI84" s="63">
        <f>'Local multi year dist'!BA84</f>
        <v>3510.3494955926571</v>
      </c>
      <c r="AJ84" s="63">
        <f>'Local multi year dist'!BB84</f>
        <v>2901.4189613473154</v>
      </c>
      <c r="AK84" s="63">
        <f>'Local multi year dist'!BC84</f>
        <v>2901.4189613473154</v>
      </c>
      <c r="AL84" s="63">
        <f>'Local multi year dist'!BD84</f>
        <v>2094.1326148438511</v>
      </c>
      <c r="AN84" s="63">
        <f>'Local multi year dist'!BF84</f>
        <v>0</v>
      </c>
      <c r="AO84" s="63">
        <f>'Local multi year dist'!BG84</f>
        <v>2515.0184541828412</v>
      </c>
      <c r="AP84" s="63">
        <f>'Local multi year dist'!BH84</f>
        <v>2911.2632487528722</v>
      </c>
      <c r="AQ84" s="63">
        <f>'Local multi year dist'!BI84</f>
        <v>1133.6871989956978</v>
      </c>
      <c r="AR84" s="63">
        <f>'Local multi year dist'!BJ84</f>
        <v>1243.8338119867485</v>
      </c>
      <c r="AS84" s="63">
        <f>'Local multi year dist'!BK84</f>
        <v>1325.1210298162505</v>
      </c>
      <c r="AT84" s="63">
        <f>'Local multi year dist'!BL84</f>
        <v>997.33294409519692</v>
      </c>
      <c r="AU84" s="63">
        <f>'Local multi year dist'!BM84</f>
        <v>1418.3846722496107</v>
      </c>
      <c r="AV84" s="63">
        <f>'Local multi year dist'!BN84</f>
        <v>1426.8975469647098</v>
      </c>
      <c r="AW84" s="63">
        <f>'Local multi year dist'!BO84</f>
        <v>1327.042185803994</v>
      </c>
      <c r="AX84" s="63">
        <f>'Local multi year dist'!BP84</f>
        <v>1227.5498201576945</v>
      </c>
      <c r="AY84" s="63">
        <f>'Local multi year dist'!BQ84</f>
        <v>1124.0569739341645</v>
      </c>
      <c r="AZ84" s="63">
        <f>'Local multi year dist'!BR84</f>
        <v>877.58737389816429</v>
      </c>
      <c r="BA84" s="63">
        <f>'Local multi year dist'!BS84</f>
        <v>877.58737389816429</v>
      </c>
      <c r="BB84" s="63">
        <f>'Local multi year dist'!BT84</f>
        <v>877.58737389816429</v>
      </c>
      <c r="BC84" s="63">
        <f>'Local multi year dist'!BU84</f>
        <v>725.35474033682885</v>
      </c>
      <c r="BD84" s="63">
        <f>'Local multi year dist'!BV84</f>
        <v>725.35474033682885</v>
      </c>
      <c r="BE84" s="63">
        <f>'Local multi year dist'!BW84</f>
        <v>523.53315371096278</v>
      </c>
      <c r="BF84" s="63"/>
      <c r="BG84" s="63"/>
      <c r="BH84" s="63"/>
      <c r="BI84" s="63"/>
      <c r="BJ84" s="63"/>
      <c r="BK84" s="63"/>
      <c r="BL84" s="63"/>
      <c r="BM84" s="63"/>
      <c r="BN84" s="63"/>
      <c r="BO84" s="63"/>
      <c r="BP84" s="63"/>
      <c r="BQ84" s="63"/>
    </row>
    <row r="85" spans="1:69" x14ac:dyDescent="0.25">
      <c r="A85" t="str">
        <f>'Local multi year dist'!S85</f>
        <v>Montgomery County</v>
      </c>
      <c r="B85" s="63">
        <f>'Local multi year dist'!T85</f>
        <v>48999.515669037937</v>
      </c>
      <c r="C85" s="63">
        <f>'Local multi year dist'!U85</f>
        <v>310193.6482071114</v>
      </c>
      <c r="D85" s="63">
        <f>'Local multi year dist'!V85</f>
        <v>382548.14053851453</v>
      </c>
      <c r="E85" s="63">
        <f>'Local multi year dist'!W85</f>
        <v>146706.36501102414</v>
      </c>
      <c r="F85" s="63">
        <f>'Local multi year dist'!X85</f>
        <v>157645.46989844571</v>
      </c>
      <c r="G85" s="63">
        <f>'Local multi year dist'!Y85</f>
        <v>167539.52014941032</v>
      </c>
      <c r="H85" s="63">
        <f>'Local multi year dist'!Z85</f>
        <v>127642.08143285786</v>
      </c>
      <c r="I85" s="63">
        <f>'Local multi year dist'!AA85</f>
        <v>178891.30693044054</v>
      </c>
      <c r="J85" s="63">
        <f>'Local multi year dist'!AB85</f>
        <v>179705.25083919018</v>
      </c>
      <c r="K85" s="63">
        <f>'Local multi year dist'!AC85</f>
        <v>168256.75409313323</v>
      </c>
      <c r="L85" s="63">
        <f>'Local multi year dist'!AD85</f>
        <v>156143.29801511136</v>
      </c>
      <c r="M85" s="63">
        <f>'Local multi year dist'!AE85</f>
        <v>143546.44147982312</v>
      </c>
      <c r="N85" s="63">
        <f>'Local multi year dist'!AF85</f>
        <v>109546.91449842603</v>
      </c>
      <c r="O85" s="63">
        <f>'Local multi year dist'!AG85</f>
        <v>109546.91449842603</v>
      </c>
      <c r="P85" s="63">
        <f>'Local multi year dist'!AH85</f>
        <v>109546.91449842603</v>
      </c>
      <c r="Q85" s="63">
        <f>'Local multi year dist'!AI85</f>
        <v>91017.588898283691</v>
      </c>
      <c r="R85" s="63">
        <f>'Local multi year dist'!AJ85</f>
        <v>91017.588898283691</v>
      </c>
      <c r="S85" s="63">
        <f>'Local multi year dist'!AK85</f>
        <v>63722.974769869717</v>
      </c>
      <c r="T85" s="63"/>
      <c r="U85" s="63">
        <f>'Local multi year dist'!AM85</f>
        <v>0</v>
      </c>
      <c r="V85" s="63">
        <f>'Local multi year dist'!AN85</f>
        <v>112244.34212186385</v>
      </c>
      <c r="W85" s="63">
        <f>'Local multi year dist'!AO85</f>
        <v>129928.600546193</v>
      </c>
      <c r="X85" s="63">
        <f>'Local multi year dist'!AP85</f>
        <v>50596.039807030218</v>
      </c>
      <c r="Y85" s="63">
        <f>'Local multi year dist'!AQ85</f>
        <v>55511.84234977897</v>
      </c>
      <c r="Z85" s="63">
        <f>'Local multi year dist'!AR85</f>
        <v>59139.660775132666</v>
      </c>
      <c r="AA85" s="63">
        <f>'Local multi year dist'!AS85</f>
        <v>44510.599912396749</v>
      </c>
      <c r="AB85" s="63">
        <f>'Local multi year dist'!AT85</f>
        <v>63301.982594843743</v>
      </c>
      <c r="AC85" s="63">
        <f>'Local multi year dist'!AU85</f>
        <v>63681.909040462058</v>
      </c>
      <c r="AD85" s="63">
        <f>'Local multi year dist'!AV85</f>
        <v>59225.401255326404</v>
      </c>
      <c r="AE85" s="63">
        <f>'Local multi year dist'!AW85</f>
        <v>54785.093825556367</v>
      </c>
      <c r="AF85" s="63">
        <f>'Local multi year dist'!AX85</f>
        <v>50166.246429284009</v>
      </c>
      <c r="AG85" s="63">
        <f>'Local multi year dist'!AY85</f>
        <v>39166.39946471437</v>
      </c>
      <c r="AH85" s="63">
        <f>'Local multi year dist'!AZ85</f>
        <v>39166.39946471437</v>
      </c>
      <c r="AI85" s="63">
        <f>'Local multi year dist'!BA85</f>
        <v>39166.39946471437</v>
      </c>
      <c r="AJ85" s="63">
        <f>'Local multi year dist'!BB85</f>
        <v>32372.313411328843</v>
      </c>
      <c r="AK85" s="63">
        <f>'Local multi year dist'!BC85</f>
        <v>32372.313411328843</v>
      </c>
      <c r="AL85" s="63">
        <f>'Local multi year dist'!BD85</f>
        <v>23365.090748952229</v>
      </c>
      <c r="AN85" s="63">
        <f>'Local multi year dist'!BF85</f>
        <v>0</v>
      </c>
      <c r="AO85" s="63">
        <f>'Local multi year dist'!BG85</f>
        <v>28061.085530465964</v>
      </c>
      <c r="AP85" s="63">
        <f>'Local multi year dist'!BH85</f>
        <v>32482.150136548251</v>
      </c>
      <c r="AQ85" s="63">
        <f>'Local multi year dist'!BI85</f>
        <v>12649.009951757555</v>
      </c>
      <c r="AR85" s="63">
        <f>'Local multi year dist'!BJ85</f>
        <v>13877.960587444742</v>
      </c>
      <c r="AS85" s="63">
        <f>'Local multi year dist'!BK85</f>
        <v>14784.915193783167</v>
      </c>
      <c r="AT85" s="63">
        <f>'Local multi year dist'!BL85</f>
        <v>11127.649978099187</v>
      </c>
      <c r="AU85" s="63">
        <f>'Local multi year dist'!BM85</f>
        <v>15825.495648710936</v>
      </c>
      <c r="AV85" s="63">
        <f>'Local multi year dist'!BN85</f>
        <v>15920.477260115515</v>
      </c>
      <c r="AW85" s="63">
        <f>'Local multi year dist'!BO85</f>
        <v>14806.350313831601</v>
      </c>
      <c r="AX85" s="63">
        <f>'Local multi year dist'!BP85</f>
        <v>13696.273456389092</v>
      </c>
      <c r="AY85" s="63">
        <f>'Local multi year dist'!BQ85</f>
        <v>12541.561607321002</v>
      </c>
      <c r="AZ85" s="63">
        <f>'Local multi year dist'!BR85</f>
        <v>9791.5998661785925</v>
      </c>
      <c r="BA85" s="63">
        <f>'Local multi year dist'!BS85</f>
        <v>9791.5998661785925</v>
      </c>
      <c r="BB85" s="63">
        <f>'Local multi year dist'!BT85</f>
        <v>9791.5998661785925</v>
      </c>
      <c r="BC85" s="63">
        <f>'Local multi year dist'!BU85</f>
        <v>8093.0783528322108</v>
      </c>
      <c r="BD85" s="63">
        <f>'Local multi year dist'!BV85</f>
        <v>8093.0783528322108</v>
      </c>
      <c r="BE85" s="63">
        <f>'Local multi year dist'!BW85</f>
        <v>5841.2726872380572</v>
      </c>
      <c r="BF85" s="63"/>
      <c r="BG85" s="63"/>
      <c r="BH85" s="63"/>
      <c r="BI85" s="63"/>
      <c r="BJ85" s="63"/>
      <c r="BK85" s="63"/>
      <c r="BL85" s="63"/>
      <c r="BM85" s="63"/>
      <c r="BN85" s="63"/>
      <c r="BO85" s="63"/>
      <c r="BP85" s="63"/>
      <c r="BQ85" s="63"/>
    </row>
    <row r="86" spans="1:69" x14ac:dyDescent="0.25">
      <c r="A86" t="str">
        <f>'Local multi year dist'!S86</f>
        <v>Nelson County</v>
      </c>
      <c r="B86" s="63">
        <f>'Local multi year dist'!T86</f>
        <v>5977.5342766378226</v>
      </c>
      <c r="C86" s="63">
        <f>'Local multi year dist'!U86</f>
        <v>37841.050860120646</v>
      </c>
      <c r="D86" s="63">
        <f>'Local multi year dist'!V86</f>
        <v>46667.698472333308</v>
      </c>
      <c r="E86" s="63">
        <f>'Local multi year dist'!W86</f>
        <v>17896.959051137383</v>
      </c>
      <c r="F86" s="63">
        <f>'Local multi year dist'!X86</f>
        <v>19231.439066449395</v>
      </c>
      <c r="G86" s="63">
        <f>'Local multi year dist'!Y86</f>
        <v>20438.43108876624</v>
      </c>
      <c r="H86" s="63">
        <f>'Local multi year dist'!Z86</f>
        <v>15571.274664423325</v>
      </c>
      <c r="I86" s="63">
        <f>'Local multi year dist'!AA86</f>
        <v>21823.254870352499</v>
      </c>
      <c r="J86" s="63">
        <f>'Local multi year dist'!AB86</f>
        <v>21922.549272498716</v>
      </c>
      <c r="K86" s="63">
        <f>'Local multi year dist'!AC86</f>
        <v>20525.927677751522</v>
      </c>
      <c r="L86" s="63">
        <f>'Local multi year dist'!AD86</f>
        <v>19048.18656283931</v>
      </c>
      <c r="M86" s="63">
        <f>'Local multi year dist'!AE86</f>
        <v>17511.474603762654</v>
      </c>
      <c r="N86" s="63">
        <f>'Local multi year dist'!AF86</f>
        <v>13363.814465783093</v>
      </c>
      <c r="O86" s="63">
        <f>'Local multi year dist'!AG86</f>
        <v>13363.814465783093</v>
      </c>
      <c r="P86" s="63">
        <f>'Local multi year dist'!AH86</f>
        <v>13363.814465783093</v>
      </c>
      <c r="Q86" s="63">
        <f>'Local multi year dist'!AI86</f>
        <v>11103.390512902657</v>
      </c>
      <c r="R86" s="63">
        <f>'Local multi year dist'!AJ86</f>
        <v>11103.390512902657</v>
      </c>
      <c r="S86" s="63">
        <f>'Local multi year dist'!AK86</f>
        <v>7773.674100556721</v>
      </c>
      <c r="T86" s="63"/>
      <c r="U86" s="63">
        <f>'Local multi year dist'!AM86</f>
        <v>0</v>
      </c>
      <c r="V86" s="63">
        <f>'Local multi year dist'!AN86</f>
        <v>13692.878250551026</v>
      </c>
      <c r="W86" s="63">
        <f>'Local multi year dist'!AO86</f>
        <v>15850.211020987859</v>
      </c>
      <c r="X86" s="63">
        <f>'Local multi year dist'!AP86</f>
        <v>6172.2969723099104</v>
      </c>
      <c r="Y86" s="63">
        <f>'Local multi year dist'!AQ86</f>
        <v>6771.984087483409</v>
      </c>
      <c r="Z86" s="63">
        <f>'Local multi year dist'!AR86</f>
        <v>7214.5478289995863</v>
      </c>
      <c r="AA86" s="63">
        <f>'Local multi year dist'!AS86</f>
        <v>5429.9238067405167</v>
      </c>
      <c r="AB86" s="63">
        <f>'Local multi year dist'!AT86</f>
        <v>7722.3165489145476</v>
      </c>
      <c r="AC86" s="63">
        <f>'Local multi year dist'!AU86</f>
        <v>7768.6644223634212</v>
      </c>
      <c r="AD86" s="63">
        <f>'Local multi year dist'!AV86</f>
        <v>7225.007456043968</v>
      </c>
      <c r="AE86" s="63">
        <f>'Local multi year dist'!AW86</f>
        <v>6683.3267986363362</v>
      </c>
      <c r="AF86" s="63">
        <f>'Local multi year dist'!AX86</f>
        <v>6119.865746974895</v>
      </c>
      <c r="AG86" s="63">
        <f>'Local multi year dist'!AY86</f>
        <v>4777.97570233445</v>
      </c>
      <c r="AH86" s="63">
        <f>'Local multi year dist'!AZ86</f>
        <v>4777.97570233445</v>
      </c>
      <c r="AI86" s="63">
        <f>'Local multi year dist'!BA86</f>
        <v>4777.97570233445</v>
      </c>
      <c r="AJ86" s="63">
        <f>'Local multi year dist'!BB86</f>
        <v>3949.1535862782907</v>
      </c>
      <c r="AK86" s="63">
        <f>'Local multi year dist'!BC86</f>
        <v>3949.1535862782907</v>
      </c>
      <c r="AL86" s="63">
        <f>'Local multi year dist'!BD86</f>
        <v>2850.3471702041306</v>
      </c>
      <c r="AN86" s="63">
        <f>'Local multi year dist'!BF86</f>
        <v>0</v>
      </c>
      <c r="AO86" s="63">
        <f>'Local multi year dist'!BG86</f>
        <v>3423.2195626377566</v>
      </c>
      <c r="AP86" s="63">
        <f>'Local multi year dist'!BH86</f>
        <v>3962.5527552469648</v>
      </c>
      <c r="AQ86" s="63">
        <f>'Local multi year dist'!BI86</f>
        <v>1543.0742430774776</v>
      </c>
      <c r="AR86" s="63">
        <f>'Local multi year dist'!BJ86</f>
        <v>1692.9960218708522</v>
      </c>
      <c r="AS86" s="63">
        <f>'Local multi year dist'!BK86</f>
        <v>1803.6369572498966</v>
      </c>
      <c r="AT86" s="63">
        <f>'Local multi year dist'!BL86</f>
        <v>1357.4809516851292</v>
      </c>
      <c r="AU86" s="63">
        <f>'Local multi year dist'!BM86</f>
        <v>1930.5791372286369</v>
      </c>
      <c r="AV86" s="63">
        <f>'Local multi year dist'!BN86</f>
        <v>1942.1661055908553</v>
      </c>
      <c r="AW86" s="63">
        <f>'Local multi year dist'!BO86</f>
        <v>1806.251864010992</v>
      </c>
      <c r="AX86" s="63">
        <f>'Local multi year dist'!BP86</f>
        <v>1670.8316996590841</v>
      </c>
      <c r="AY86" s="63">
        <f>'Local multi year dist'!BQ86</f>
        <v>1529.9664367437238</v>
      </c>
      <c r="AZ86" s="63">
        <f>'Local multi year dist'!BR86</f>
        <v>1194.4939255836125</v>
      </c>
      <c r="BA86" s="63">
        <f>'Local multi year dist'!BS86</f>
        <v>1194.4939255836125</v>
      </c>
      <c r="BB86" s="63">
        <f>'Local multi year dist'!BT86</f>
        <v>1194.4939255836125</v>
      </c>
      <c r="BC86" s="63">
        <f>'Local multi year dist'!BU86</f>
        <v>987.28839656957268</v>
      </c>
      <c r="BD86" s="63">
        <f>'Local multi year dist'!BV86</f>
        <v>987.28839656957268</v>
      </c>
      <c r="BE86" s="63">
        <f>'Local multi year dist'!BW86</f>
        <v>712.58679255103266</v>
      </c>
      <c r="BF86" s="63"/>
      <c r="BG86" s="63"/>
      <c r="BH86" s="63"/>
      <c r="BI86" s="63"/>
      <c r="BJ86" s="63"/>
      <c r="BK86" s="63"/>
      <c r="BL86" s="63"/>
      <c r="BM86" s="63"/>
      <c r="BN86" s="63"/>
      <c r="BO86" s="63"/>
      <c r="BP86" s="63"/>
      <c r="BQ86" s="63"/>
    </row>
    <row r="87" spans="1:69" x14ac:dyDescent="0.25">
      <c r="A87" t="str">
        <f>'Local multi year dist'!S87</f>
        <v>New Kent County</v>
      </c>
      <c r="B87" s="63">
        <f>'Local multi year dist'!T87</f>
        <v>6343.5057629625881</v>
      </c>
      <c r="C87" s="63">
        <f>'Local multi year dist'!U87</f>
        <v>40157.849892372928</v>
      </c>
      <c r="D87" s="63">
        <f>'Local multi year dist'!V87</f>
        <v>49524.904501251673</v>
      </c>
      <c r="E87" s="63">
        <f>'Local multi year dist'!W87</f>
        <v>18992.691237941715</v>
      </c>
      <c r="F87" s="63">
        <f>'Local multi year dist'!X87</f>
        <v>20408.874111334051</v>
      </c>
      <c r="G87" s="63">
        <f>'Local multi year dist'!Y87</f>
        <v>21689.76360440499</v>
      </c>
      <c r="H87" s="63">
        <f>'Local multi year dist'!Z87</f>
        <v>16524.618011224753</v>
      </c>
      <c r="I87" s="63">
        <f>'Local multi year dist'!AA87</f>
        <v>23159.37251547612</v>
      </c>
      <c r="J87" s="63">
        <f>'Local multi year dist'!AB87</f>
        <v>23264.746166733334</v>
      </c>
      <c r="K87" s="63">
        <f>'Local multi year dist'!AC87</f>
        <v>21782.61712740978</v>
      </c>
      <c r="L87" s="63">
        <f>'Local multi year dist'!AD87</f>
        <v>20214.402066686616</v>
      </c>
      <c r="M87" s="63">
        <f>'Local multi year dist'!AE87</f>
        <v>18583.605701952205</v>
      </c>
      <c r="N87" s="63">
        <f>'Local multi year dist'!AF87</f>
        <v>14182.007188177977</v>
      </c>
      <c r="O87" s="63">
        <f>'Local multi year dist'!AG87</f>
        <v>14182.007188177977</v>
      </c>
      <c r="P87" s="63">
        <f>'Local multi year dist'!AH87</f>
        <v>14182.007188177977</v>
      </c>
      <c r="Q87" s="63">
        <f>'Local multi year dist'!AI87</f>
        <v>11783.189932059964</v>
      </c>
      <c r="R87" s="63">
        <f>'Local multi year dist'!AJ87</f>
        <v>11783.189932059964</v>
      </c>
      <c r="S87" s="63">
        <f>'Local multi year dist'!AK87</f>
        <v>8249.6133312030506</v>
      </c>
      <c r="T87" s="63"/>
      <c r="U87" s="63">
        <f>'Local multi year dist'!AM87</f>
        <v>0</v>
      </c>
      <c r="V87" s="63">
        <f>'Local multi year dist'!AN87</f>
        <v>14531.21773527864</v>
      </c>
      <c r="W87" s="63">
        <f>'Local multi year dist'!AO87</f>
        <v>16820.632103905486</v>
      </c>
      <c r="X87" s="63">
        <f>'Local multi year dist'!AP87</f>
        <v>6550.1927053084764</v>
      </c>
      <c r="Y87" s="63">
        <f>'Local multi year dist'!AQ87</f>
        <v>7186.5953581456588</v>
      </c>
      <c r="Z87" s="63">
        <f>'Local multi year dist'!AR87</f>
        <v>7656.2548389383373</v>
      </c>
      <c r="AA87" s="63">
        <f>'Local multi year dist'!AS87</f>
        <v>5762.3681214389153</v>
      </c>
      <c r="AB87" s="63">
        <f>'Local multi year dist'!AT87</f>
        <v>8195.1114396644189</v>
      </c>
      <c r="AC87" s="63">
        <f>'Local multi year dist'!AU87</f>
        <v>8244.296938018324</v>
      </c>
      <c r="AD87" s="63">
        <f>'Local multi year dist'!AV87</f>
        <v>7667.3548513119667</v>
      </c>
      <c r="AE87" s="63">
        <f>'Local multi year dist'!AW87</f>
        <v>7092.5100720222354</v>
      </c>
      <c r="AF87" s="63">
        <f>'Local multi year dist'!AX87</f>
        <v>6494.5514049529502</v>
      </c>
      <c r="AG87" s="63">
        <f>'Local multi year dist'!AY87</f>
        <v>5070.5048269671715</v>
      </c>
      <c r="AH87" s="63">
        <f>'Local multi year dist'!AZ87</f>
        <v>5070.5048269671715</v>
      </c>
      <c r="AI87" s="63">
        <f>'Local multi year dist'!BA87</f>
        <v>5070.5048269671715</v>
      </c>
      <c r="AJ87" s="63">
        <f>'Local multi year dist'!BB87</f>
        <v>4190.9384997239003</v>
      </c>
      <c r="AK87" s="63">
        <f>'Local multi year dist'!BC87</f>
        <v>4190.9384997239003</v>
      </c>
      <c r="AL87" s="63">
        <f>'Local multi year dist'!BD87</f>
        <v>3024.8582214411185</v>
      </c>
      <c r="AN87" s="63">
        <f>'Local multi year dist'!BF87</f>
        <v>0</v>
      </c>
      <c r="AO87" s="63">
        <f>'Local multi year dist'!BG87</f>
        <v>3632.8044338196601</v>
      </c>
      <c r="AP87" s="63">
        <f>'Local multi year dist'!BH87</f>
        <v>4205.1580259763714</v>
      </c>
      <c r="AQ87" s="63">
        <f>'Local multi year dist'!BI87</f>
        <v>1637.5481763271191</v>
      </c>
      <c r="AR87" s="63">
        <f>'Local multi year dist'!BJ87</f>
        <v>1796.6488395364147</v>
      </c>
      <c r="AS87" s="63">
        <f>'Local multi year dist'!BK87</f>
        <v>1914.0637097345843</v>
      </c>
      <c r="AT87" s="63">
        <f>'Local multi year dist'!BL87</f>
        <v>1440.5920303597288</v>
      </c>
      <c r="AU87" s="63">
        <f>'Local multi year dist'!BM87</f>
        <v>2048.7778599161047</v>
      </c>
      <c r="AV87" s="63">
        <f>'Local multi year dist'!BN87</f>
        <v>2061.074234504581</v>
      </c>
      <c r="AW87" s="63">
        <f>'Local multi year dist'!BO87</f>
        <v>1916.8387128279917</v>
      </c>
      <c r="AX87" s="63">
        <f>'Local multi year dist'!BP87</f>
        <v>1773.1275180055588</v>
      </c>
      <c r="AY87" s="63">
        <f>'Local multi year dist'!BQ87</f>
        <v>1623.6378512382375</v>
      </c>
      <c r="AZ87" s="63">
        <f>'Local multi year dist'!BR87</f>
        <v>1267.6262067417929</v>
      </c>
      <c r="BA87" s="63">
        <f>'Local multi year dist'!BS87</f>
        <v>1267.6262067417929</v>
      </c>
      <c r="BB87" s="63">
        <f>'Local multi year dist'!BT87</f>
        <v>1267.6262067417929</v>
      </c>
      <c r="BC87" s="63">
        <f>'Local multi year dist'!BU87</f>
        <v>1047.7346249309751</v>
      </c>
      <c r="BD87" s="63">
        <f>'Local multi year dist'!BV87</f>
        <v>1047.7346249309751</v>
      </c>
      <c r="BE87" s="63">
        <f>'Local multi year dist'!BW87</f>
        <v>756.21455536027963</v>
      </c>
      <c r="BF87" s="63"/>
      <c r="BG87" s="63"/>
      <c r="BH87" s="63"/>
      <c r="BI87" s="63"/>
      <c r="BJ87" s="63"/>
      <c r="BK87" s="63"/>
      <c r="BL87" s="63"/>
      <c r="BM87" s="63"/>
      <c r="BN87" s="63"/>
      <c r="BO87" s="63"/>
      <c r="BP87" s="63"/>
      <c r="BQ87" s="63"/>
    </row>
    <row r="88" spans="1:69" x14ac:dyDescent="0.25">
      <c r="A88" t="str">
        <f>'Local multi year dist'!S88</f>
        <v>Newport News City</v>
      </c>
      <c r="B88" s="63">
        <f>'Local multi year dist'!T88</f>
        <v>83238.181389643694</v>
      </c>
      <c r="C88" s="63">
        <f>'Local multi year dist'!U88</f>
        <v>526943.06878004735</v>
      </c>
      <c r="D88" s="63">
        <f>'Local multi year dist'!V88</f>
        <v>649855.63791065488</v>
      </c>
      <c r="E88" s="63">
        <f>'Local multi year dist'!W88</f>
        <v>249218.19848760695</v>
      </c>
      <c r="F88" s="63">
        <f>'Local multi year dist'!X88</f>
        <v>267801.05965321022</v>
      </c>
      <c r="G88" s="63">
        <f>'Local multi year dist'!Y88</f>
        <v>284608.62883472443</v>
      </c>
      <c r="H88" s="63">
        <f>'Local multi year dist'!Z88</f>
        <v>216832.64787805811</v>
      </c>
      <c r="I88" s="63">
        <f>'Local multi year dist'!AA88</f>
        <v>303892.53550756164</v>
      </c>
      <c r="J88" s="63">
        <f>'Local multi year dist'!AB88</f>
        <v>305275.22694425081</v>
      </c>
      <c r="K88" s="63">
        <f>'Local multi year dist'!AC88</f>
        <v>285827.0337167168</v>
      </c>
      <c r="L88" s="63">
        <f>'Local multi year dist'!AD88</f>
        <v>265249.23737504805</v>
      </c>
      <c r="M88" s="63">
        <f>'Local multi year dist'!AE88</f>
        <v>243850.26199933433</v>
      </c>
      <c r="N88" s="63">
        <f>'Local multi year dist'!AF88</f>
        <v>186093.38919359178</v>
      </c>
      <c r="O88" s="63">
        <f>'Local multi year dist'!AG88</f>
        <v>186093.38919359178</v>
      </c>
      <c r="P88" s="63">
        <f>'Local multi year dist'!AH88</f>
        <v>186093.38919359178</v>
      </c>
      <c r="Q88" s="63">
        <f>'Local multi year dist'!AI88</f>
        <v>154616.60122388939</v>
      </c>
      <c r="R88" s="63">
        <f>'Local multi year dist'!AJ88</f>
        <v>154616.60122388939</v>
      </c>
      <c r="S88" s="63">
        <f>'Local multi year dist'!AK88</f>
        <v>108249.73390367079</v>
      </c>
      <c r="T88" s="63"/>
      <c r="U88" s="63">
        <f>'Local multi year dist'!AM88</f>
        <v>0</v>
      </c>
      <c r="V88" s="63">
        <f>'Local multi year dist'!AN88</f>
        <v>190675.65835971394</v>
      </c>
      <c r="W88" s="63">
        <f>'Local multi year dist'!AO88</f>
        <v>220716.88408137514</v>
      </c>
      <c r="X88" s="63">
        <f>'Local multi year dist'!AP88</f>
        <v>85950.285049784943</v>
      </c>
      <c r="Y88" s="63">
        <f>'Local multi year dist'!AQ88</f>
        <v>94301.030116180526</v>
      </c>
      <c r="Z88" s="63">
        <f>'Local multi year dist'!AR88</f>
        <v>100463.80548273574</v>
      </c>
      <c r="AA88" s="63">
        <f>'Local multi year dist'!AS88</f>
        <v>75612.6124652914</v>
      </c>
      <c r="AB88" s="63">
        <f>'Local multi year dist'!AT88</f>
        <v>107534.57126277604</v>
      </c>
      <c r="AC88" s="63">
        <f>'Local multi year dist'!AU88</f>
        <v>108179.973282843</v>
      </c>
      <c r="AD88" s="63">
        <f>'Local multi year dist'!AV88</f>
        <v>100609.45756817688</v>
      </c>
      <c r="AE88" s="63">
        <f>'Local multi year dist'!AW88</f>
        <v>93066.462291214833</v>
      </c>
      <c r="AF88" s="63">
        <f>'Local multi year dist'!AX88</f>
        <v>85220.1713201198</v>
      </c>
      <c r="AG88" s="63">
        <f>'Local multi year dist'!AY88</f>
        <v>66534.124235908967</v>
      </c>
      <c r="AH88" s="63">
        <f>'Local multi year dist'!AZ88</f>
        <v>66534.124235908967</v>
      </c>
      <c r="AI88" s="63">
        <f>'Local multi year dist'!BA88</f>
        <v>66534.124235908967</v>
      </c>
      <c r="AJ88" s="63">
        <f>'Local multi year dist'!BB88</f>
        <v>54992.635313684761</v>
      </c>
      <c r="AK88" s="63">
        <f>'Local multi year dist'!BC88</f>
        <v>54992.635313684761</v>
      </c>
      <c r="AL88" s="63">
        <f>'Local multi year dist'!BD88</f>
        <v>39691.569098012624</v>
      </c>
      <c r="AN88" s="63">
        <f>'Local multi year dist'!BF88</f>
        <v>0</v>
      </c>
      <c r="AO88" s="63">
        <f>'Local multi year dist'!BG88</f>
        <v>47668.914589928485</v>
      </c>
      <c r="AP88" s="63">
        <f>'Local multi year dist'!BH88</f>
        <v>55179.221020343786</v>
      </c>
      <c r="AQ88" s="63">
        <f>'Local multi year dist'!BI88</f>
        <v>21487.571262446236</v>
      </c>
      <c r="AR88" s="63">
        <f>'Local multi year dist'!BJ88</f>
        <v>23575.257529045131</v>
      </c>
      <c r="AS88" s="63">
        <f>'Local multi year dist'!BK88</f>
        <v>25115.951370683935</v>
      </c>
      <c r="AT88" s="63">
        <f>'Local multi year dist'!BL88</f>
        <v>18903.15311632285</v>
      </c>
      <c r="AU88" s="63">
        <f>'Local multi year dist'!BM88</f>
        <v>26883.642815694009</v>
      </c>
      <c r="AV88" s="63">
        <f>'Local multi year dist'!BN88</f>
        <v>27044.99332071075</v>
      </c>
      <c r="AW88" s="63">
        <f>'Local multi year dist'!BO88</f>
        <v>25152.364392044219</v>
      </c>
      <c r="AX88" s="63">
        <f>'Local multi year dist'!BP88</f>
        <v>23266.615572803708</v>
      </c>
      <c r="AY88" s="63">
        <f>'Local multi year dist'!BQ88</f>
        <v>21305.04283002995</v>
      </c>
      <c r="AZ88" s="63">
        <f>'Local multi year dist'!BR88</f>
        <v>16633.531058977242</v>
      </c>
      <c r="BA88" s="63">
        <f>'Local multi year dist'!BS88</f>
        <v>16633.531058977242</v>
      </c>
      <c r="BB88" s="63">
        <f>'Local multi year dist'!BT88</f>
        <v>16633.531058977242</v>
      </c>
      <c r="BC88" s="63">
        <f>'Local multi year dist'!BU88</f>
        <v>13748.15882842119</v>
      </c>
      <c r="BD88" s="63">
        <f>'Local multi year dist'!BV88</f>
        <v>13748.15882842119</v>
      </c>
      <c r="BE88" s="63">
        <f>'Local multi year dist'!BW88</f>
        <v>9922.8922745031559</v>
      </c>
      <c r="BF88" s="63"/>
      <c r="BG88" s="63"/>
      <c r="BH88" s="63"/>
      <c r="BI88" s="63"/>
      <c r="BJ88" s="63"/>
      <c r="BK88" s="63"/>
      <c r="BL88" s="63"/>
      <c r="BM88" s="63"/>
      <c r="BN88" s="63"/>
      <c r="BO88" s="63"/>
      <c r="BP88" s="63"/>
      <c r="BQ88" s="63"/>
    </row>
    <row r="89" spans="1:69" x14ac:dyDescent="0.25">
      <c r="A89" t="str">
        <f>'Local multi year dist'!S89</f>
        <v>Norfolk City</v>
      </c>
      <c r="B89" s="63">
        <f>'Local multi year dist'!T89</f>
        <v>137767.93285203361</v>
      </c>
      <c r="C89" s="63">
        <f>'Local multi year dist'!U89</f>
        <v>872146.12458563759</v>
      </c>
      <c r="D89" s="63">
        <f>'Local multi year dist'!V89</f>
        <v>1075579.3362194914</v>
      </c>
      <c r="E89" s="63">
        <f>'Local multi year dist'!W89</f>
        <v>412482.29432145203</v>
      </c>
      <c r="F89" s="63">
        <f>'Local multi year dist'!X89</f>
        <v>443238.88134102407</v>
      </c>
      <c r="G89" s="63">
        <f>'Local multi year dist'!Y89</f>
        <v>471057.17366489809</v>
      </c>
      <c r="H89" s="63">
        <f>'Local multi year dist'!Z89</f>
        <v>358880.80655147089</v>
      </c>
      <c r="I89" s="63">
        <f>'Local multi year dist'!AA89</f>
        <v>502974.06463098136</v>
      </c>
      <c r="J89" s="63">
        <f>'Local multi year dist'!AB89</f>
        <v>505262.56418520847</v>
      </c>
      <c r="K89" s="63">
        <f>'Local multi year dist'!AC89</f>
        <v>473073.76171579701</v>
      </c>
      <c r="L89" s="63">
        <f>'Local multi year dist'!AD89</f>
        <v>439015.34744829644</v>
      </c>
      <c r="M89" s="63">
        <f>'Local multi year dist'!AE89</f>
        <v>403597.7956295773</v>
      </c>
      <c r="N89" s="63">
        <f>'Local multi year dist'!AF89</f>
        <v>308004.10483042937</v>
      </c>
      <c r="O89" s="63">
        <f>'Local multi year dist'!AG89</f>
        <v>308004.10483042937</v>
      </c>
      <c r="P89" s="63">
        <f>'Local multi year dist'!AH89</f>
        <v>308004.10483042937</v>
      </c>
      <c r="Q89" s="63">
        <f>'Local multi year dist'!AI89</f>
        <v>255906.7146783279</v>
      </c>
      <c r="R89" s="63">
        <f>'Local multi year dist'!AJ89</f>
        <v>255906.7146783279</v>
      </c>
      <c r="S89" s="63">
        <f>'Local multi year dist'!AK89</f>
        <v>179164.67926997392</v>
      </c>
      <c r="T89" s="63"/>
      <c r="U89" s="63">
        <f>'Local multi year dist'!AM89</f>
        <v>0</v>
      </c>
      <c r="V89" s="63">
        <f>'Local multi year dist'!AN89</f>
        <v>315588.24158412835</v>
      </c>
      <c r="W89" s="63">
        <f>'Local multi year dist'!AO89</f>
        <v>365309.62543610111</v>
      </c>
      <c r="X89" s="63">
        <f>'Local multi year dist'!AP89</f>
        <v>142256.74926657125</v>
      </c>
      <c r="Y89" s="63">
        <f>'Local multi year dist'!AQ89</f>
        <v>156078.10944485571</v>
      </c>
      <c r="Z89" s="63">
        <f>'Local multi year dist'!AR89</f>
        <v>166278.1499636095</v>
      </c>
      <c r="AA89" s="63">
        <f>'Local multi year dist'!AS89</f>
        <v>125146.81535535285</v>
      </c>
      <c r="AB89" s="63">
        <f>'Local multi year dist'!AT89</f>
        <v>177981.0099845067</v>
      </c>
      <c r="AC89" s="63">
        <f>'Local multi year dist'!AU89</f>
        <v>179049.2181154236</v>
      </c>
      <c r="AD89" s="63">
        <f>'Local multi year dist'!AV89</f>
        <v>166519.21946310857</v>
      </c>
      <c r="AE89" s="63">
        <f>'Local multi year dist'!AW89</f>
        <v>154034.77002571366</v>
      </c>
      <c r="AF89" s="63">
        <f>'Local multi year dist'!AX89</f>
        <v>141048.33435884994</v>
      </c>
      <c r="AG89" s="63">
        <f>'Local multi year dist'!AY89</f>
        <v>110120.96380618446</v>
      </c>
      <c r="AH89" s="63">
        <f>'Local multi year dist'!AZ89</f>
        <v>110120.96380618446</v>
      </c>
      <c r="AI89" s="63">
        <f>'Local multi year dist'!BA89</f>
        <v>110120.96380618446</v>
      </c>
      <c r="AJ89" s="63">
        <f>'Local multi year dist'!BB89</f>
        <v>91018.587417080591</v>
      </c>
      <c r="AK89" s="63">
        <f>'Local multi year dist'!BC89</f>
        <v>91018.587417080591</v>
      </c>
      <c r="AL89" s="63">
        <f>'Local multi year dist'!BD89</f>
        <v>65693.715732323762</v>
      </c>
      <c r="AN89" s="63">
        <f>'Local multi year dist'!BF89</f>
        <v>0</v>
      </c>
      <c r="AO89" s="63">
        <f>'Local multi year dist'!BG89</f>
        <v>78897.060396032088</v>
      </c>
      <c r="AP89" s="63">
        <f>'Local multi year dist'!BH89</f>
        <v>91327.406359025277</v>
      </c>
      <c r="AQ89" s="63">
        <f>'Local multi year dist'!BI89</f>
        <v>35564.187316642812</v>
      </c>
      <c r="AR89" s="63">
        <f>'Local multi year dist'!BJ89</f>
        <v>39019.527361213928</v>
      </c>
      <c r="AS89" s="63">
        <f>'Local multi year dist'!BK89</f>
        <v>41569.537490902374</v>
      </c>
      <c r="AT89" s="63">
        <f>'Local multi year dist'!BL89</f>
        <v>31286.703838838213</v>
      </c>
      <c r="AU89" s="63">
        <f>'Local multi year dist'!BM89</f>
        <v>44495.252496126675</v>
      </c>
      <c r="AV89" s="63">
        <f>'Local multi year dist'!BN89</f>
        <v>44762.304528855901</v>
      </c>
      <c r="AW89" s="63">
        <f>'Local multi year dist'!BO89</f>
        <v>41629.804865777143</v>
      </c>
      <c r="AX89" s="63">
        <f>'Local multi year dist'!BP89</f>
        <v>38508.692506428415</v>
      </c>
      <c r="AY89" s="63">
        <f>'Local multi year dist'!BQ89</f>
        <v>35262.083589712485</v>
      </c>
      <c r="AZ89" s="63">
        <f>'Local multi year dist'!BR89</f>
        <v>27530.240951546115</v>
      </c>
      <c r="BA89" s="63">
        <f>'Local multi year dist'!BS89</f>
        <v>27530.240951546115</v>
      </c>
      <c r="BB89" s="63">
        <f>'Local multi year dist'!BT89</f>
        <v>27530.240951546115</v>
      </c>
      <c r="BC89" s="63">
        <f>'Local multi year dist'!BU89</f>
        <v>22754.646854270148</v>
      </c>
      <c r="BD89" s="63">
        <f>'Local multi year dist'!BV89</f>
        <v>22754.646854270148</v>
      </c>
      <c r="BE89" s="63">
        <f>'Local multi year dist'!BW89</f>
        <v>16423.428933080941</v>
      </c>
      <c r="BF89" s="63"/>
      <c r="BG89" s="63"/>
      <c r="BH89" s="63"/>
      <c r="BI89" s="63"/>
      <c r="BJ89" s="63"/>
      <c r="BK89" s="63"/>
      <c r="BL89" s="63"/>
      <c r="BM89" s="63"/>
      <c r="BN89" s="63"/>
      <c r="BO89" s="63"/>
      <c r="BP89" s="63"/>
      <c r="BQ89" s="63"/>
    </row>
    <row r="90" spans="1:69" x14ac:dyDescent="0.25">
      <c r="A90" t="str">
        <f>'Local multi year dist'!S90</f>
        <v>Northampton County</v>
      </c>
      <c r="B90" s="63">
        <f>'Local multi year dist'!T90</f>
        <v>4960.9468146245881</v>
      </c>
      <c r="C90" s="63">
        <f>'Local multi year dist'!U90</f>
        <v>31405.497992753189</v>
      </c>
      <c r="D90" s="63">
        <f>'Local multi year dist'!V90</f>
        <v>38731.015058671182</v>
      </c>
      <c r="E90" s="63">
        <f>'Local multi year dist'!W90</f>
        <v>14853.258532236468</v>
      </c>
      <c r="F90" s="63">
        <f>'Local multi year dist'!X90</f>
        <v>15960.786163992014</v>
      </c>
      <c r="G90" s="63">
        <f>'Local multi year dist'!Y90</f>
        <v>16962.50743421416</v>
      </c>
      <c r="H90" s="63">
        <f>'Local multi year dist'!Z90</f>
        <v>12923.098701086024</v>
      </c>
      <c r="I90" s="63">
        <f>'Local multi year dist'!AA90</f>
        <v>18111.816967231323</v>
      </c>
      <c r="J90" s="63">
        <f>'Local multi year dist'!AB90</f>
        <v>18194.224566291454</v>
      </c>
      <c r="K90" s="63">
        <f>'Local multi year dist'!AC90</f>
        <v>17035.123650923033</v>
      </c>
      <c r="L90" s="63">
        <f>'Local multi year dist'!AD90</f>
        <v>15808.699052152353</v>
      </c>
      <c r="M90" s="63">
        <f>'Local multi year dist'!AE90</f>
        <v>14533.332664347236</v>
      </c>
      <c r="N90" s="63">
        <f>'Local multi year dist'!AF90</f>
        <v>11091.056903575085</v>
      </c>
      <c r="O90" s="63">
        <f>'Local multi year dist'!AG90</f>
        <v>11091.056903575085</v>
      </c>
      <c r="P90" s="63">
        <f>'Local multi year dist'!AH90</f>
        <v>11091.056903575085</v>
      </c>
      <c r="Q90" s="63">
        <f>'Local multi year dist'!AI90</f>
        <v>9215.0587930212532</v>
      </c>
      <c r="R90" s="63">
        <f>'Local multi year dist'!AJ90</f>
        <v>9215.0587930212532</v>
      </c>
      <c r="S90" s="63">
        <f>'Local multi year dist'!AK90</f>
        <v>6451.6206820946936</v>
      </c>
      <c r="T90" s="63"/>
      <c r="U90" s="63">
        <f>'Local multi year dist'!AM90</f>
        <v>0</v>
      </c>
      <c r="V90" s="63">
        <f>'Local multi year dist'!AN90</f>
        <v>11364.157459640988</v>
      </c>
      <c r="W90" s="63">
        <f>'Local multi year dist'!AO90</f>
        <v>13154.596901772238</v>
      </c>
      <c r="X90" s="63">
        <f>'Local multi year dist'!AP90</f>
        <v>5122.58660286945</v>
      </c>
      <c r="Y90" s="63">
        <f>'Local multi year dist'!AQ90</f>
        <v>5620.2861134216055</v>
      </c>
      <c r="Z90" s="63">
        <f>'Local multi year dist'!AR90</f>
        <v>5987.5839125030589</v>
      </c>
      <c r="AA90" s="63">
        <f>'Local multi year dist'!AS90</f>
        <v>4506.4673770227419</v>
      </c>
      <c r="AB90" s="63">
        <f>'Local multi year dist'!AT90</f>
        <v>6408.9974079426856</v>
      </c>
      <c r="AC90" s="63">
        <f>'Local multi year dist'!AU90</f>
        <v>6447.4629899886895</v>
      </c>
      <c r="AD90" s="63">
        <f>'Local multi year dist'!AV90</f>
        <v>5996.2646914106399</v>
      </c>
      <c r="AE90" s="63">
        <f>'Local multi year dist'!AW90</f>
        <v>5546.7065947866195</v>
      </c>
      <c r="AF90" s="63">
        <f>'Local multi year dist'!AX90</f>
        <v>5079.0722525914098</v>
      </c>
      <c r="AG90" s="63">
        <f>'Local multi year dist'!AY90</f>
        <v>3965.3948005768907</v>
      </c>
      <c r="AH90" s="63">
        <f>'Local multi year dist'!AZ90</f>
        <v>3965.3948005768907</v>
      </c>
      <c r="AI90" s="63">
        <f>'Local multi year dist'!BA90</f>
        <v>3965.3948005768907</v>
      </c>
      <c r="AJ90" s="63">
        <f>'Local multi year dist'!BB90</f>
        <v>3277.5288267071528</v>
      </c>
      <c r="AK90" s="63">
        <f>'Local multi year dist'!BC90</f>
        <v>3277.5288267071528</v>
      </c>
      <c r="AL90" s="63">
        <f>'Local multi year dist'!BD90</f>
        <v>2365.5942501013874</v>
      </c>
      <c r="AN90" s="63">
        <f>'Local multi year dist'!BF90</f>
        <v>0</v>
      </c>
      <c r="AO90" s="63">
        <f>'Local multi year dist'!BG90</f>
        <v>2841.0393649102471</v>
      </c>
      <c r="AP90" s="63">
        <f>'Local multi year dist'!BH90</f>
        <v>3288.6492254430595</v>
      </c>
      <c r="AQ90" s="63">
        <f>'Local multi year dist'!BI90</f>
        <v>1280.6466507173625</v>
      </c>
      <c r="AR90" s="63">
        <f>'Local multi year dist'!BJ90</f>
        <v>1405.0715283554014</v>
      </c>
      <c r="AS90" s="63">
        <f>'Local multi year dist'!BK90</f>
        <v>1496.8959781257647</v>
      </c>
      <c r="AT90" s="63">
        <f>'Local multi year dist'!BL90</f>
        <v>1126.6168442556855</v>
      </c>
      <c r="AU90" s="63">
        <f>'Local multi year dist'!BM90</f>
        <v>1602.2493519856714</v>
      </c>
      <c r="AV90" s="63">
        <f>'Local multi year dist'!BN90</f>
        <v>1611.8657474971724</v>
      </c>
      <c r="AW90" s="63">
        <f>'Local multi year dist'!BO90</f>
        <v>1499.06617285266</v>
      </c>
      <c r="AX90" s="63">
        <f>'Local multi year dist'!BP90</f>
        <v>1386.6766486966549</v>
      </c>
      <c r="AY90" s="63">
        <f>'Local multi year dist'!BQ90</f>
        <v>1269.7680631478524</v>
      </c>
      <c r="AZ90" s="63">
        <f>'Local multi year dist'!BR90</f>
        <v>991.34870014422268</v>
      </c>
      <c r="BA90" s="63">
        <f>'Local multi year dist'!BS90</f>
        <v>991.34870014422268</v>
      </c>
      <c r="BB90" s="63">
        <f>'Local multi year dist'!BT90</f>
        <v>991.34870014422268</v>
      </c>
      <c r="BC90" s="63">
        <f>'Local multi year dist'!BU90</f>
        <v>819.3822066767882</v>
      </c>
      <c r="BD90" s="63">
        <f>'Local multi year dist'!BV90</f>
        <v>819.3822066767882</v>
      </c>
      <c r="BE90" s="63">
        <f>'Local multi year dist'!BW90</f>
        <v>591.39856252534685</v>
      </c>
      <c r="BF90" s="63"/>
      <c r="BG90" s="63"/>
      <c r="BH90" s="63"/>
      <c r="BI90" s="63"/>
      <c r="BJ90" s="63"/>
      <c r="BK90" s="63"/>
      <c r="BL90" s="63"/>
      <c r="BM90" s="63"/>
      <c r="BN90" s="63"/>
      <c r="BO90" s="63"/>
      <c r="BP90" s="63"/>
      <c r="BQ90" s="63"/>
    </row>
    <row r="91" spans="1:69" x14ac:dyDescent="0.25">
      <c r="A91" t="str">
        <f>'Local multi year dist'!S91</f>
        <v>Northumberland County</v>
      </c>
      <c r="B91" s="63">
        <f>'Local multi year dist'!T91</f>
        <v>5245.5913039882935</v>
      </c>
      <c r="C91" s="63">
        <f>'Local multi year dist'!U91</f>
        <v>33207.452795616075</v>
      </c>
      <c r="D91" s="63">
        <f>'Local multi year dist'!V91</f>
        <v>40953.286414496579</v>
      </c>
      <c r="E91" s="63">
        <f>'Local multi year dist'!W91</f>
        <v>15705.494677528724</v>
      </c>
      <c r="F91" s="63">
        <f>'Local multi year dist'!X91</f>
        <v>16876.568976680082</v>
      </c>
      <c r="G91" s="63">
        <f>'Local multi year dist'!Y91</f>
        <v>17935.766057488741</v>
      </c>
      <c r="H91" s="63">
        <f>'Local multi year dist'!Z91</f>
        <v>13664.587970820468</v>
      </c>
      <c r="I91" s="63">
        <f>'Local multi year dist'!AA91</f>
        <v>19151.019580105254</v>
      </c>
      <c r="J91" s="63">
        <f>'Local multi year dist'!AB91</f>
        <v>19238.155484029488</v>
      </c>
      <c r="K91" s="63">
        <f>'Local multi year dist'!AC91</f>
        <v>18012.548778435012</v>
      </c>
      <c r="L91" s="63">
        <f>'Local multi year dist'!AD91</f>
        <v>16715.7555551447</v>
      </c>
      <c r="M91" s="63">
        <f>'Local multi year dist'!AE91</f>
        <v>15367.212407383553</v>
      </c>
      <c r="N91" s="63">
        <f>'Local multi year dist'!AF91</f>
        <v>11727.429020993328</v>
      </c>
      <c r="O91" s="63">
        <f>'Local multi year dist'!AG91</f>
        <v>11727.429020993328</v>
      </c>
      <c r="P91" s="63">
        <f>'Local multi year dist'!AH91</f>
        <v>11727.429020993328</v>
      </c>
      <c r="Q91" s="63">
        <f>'Local multi year dist'!AI91</f>
        <v>9743.7916745880466</v>
      </c>
      <c r="R91" s="63">
        <f>'Local multi year dist'!AJ91</f>
        <v>9743.7916745880466</v>
      </c>
      <c r="S91" s="63">
        <f>'Local multi year dist'!AK91</f>
        <v>6821.7956392640617</v>
      </c>
      <c r="T91" s="63"/>
      <c r="U91" s="63">
        <f>'Local multi year dist'!AM91</f>
        <v>0</v>
      </c>
      <c r="V91" s="63">
        <f>'Local multi year dist'!AN91</f>
        <v>12016.199281095798</v>
      </c>
      <c r="W91" s="63">
        <f>'Local multi year dist'!AO91</f>
        <v>13909.368855152612</v>
      </c>
      <c r="X91" s="63">
        <f>'Local multi year dist'!AP91</f>
        <v>5416.5055063127793</v>
      </c>
      <c r="Y91" s="63">
        <f>'Local multi year dist'!AQ91</f>
        <v>5942.7615461589103</v>
      </c>
      <c r="Z91" s="63">
        <f>'Local multi year dist'!AR91</f>
        <v>6331.1338091220869</v>
      </c>
      <c r="AA91" s="63">
        <f>'Local multi year dist'!AS91</f>
        <v>4765.0351773437187</v>
      </c>
      <c r="AB91" s="63">
        <f>'Local multi year dist'!AT91</f>
        <v>6776.7267674148079</v>
      </c>
      <c r="AC91" s="63">
        <f>'Local multi year dist'!AU91</f>
        <v>6817.3993910536146</v>
      </c>
      <c r="AD91" s="63">
        <f>'Local multi year dist'!AV91</f>
        <v>6340.3126655079723</v>
      </c>
      <c r="AE91" s="63">
        <f>'Local multi year dist'!AW91</f>
        <v>5864.9602518645406</v>
      </c>
      <c r="AF91" s="63">
        <f>'Local multi year dist'!AX91</f>
        <v>5370.4944310187857</v>
      </c>
      <c r="AG91" s="63">
        <f>'Local multi year dist'!AY91</f>
        <v>4192.917453069007</v>
      </c>
      <c r="AH91" s="63">
        <f>'Local multi year dist'!AZ91</f>
        <v>4192.917453069007</v>
      </c>
      <c r="AI91" s="63">
        <f>'Local multi year dist'!BA91</f>
        <v>4192.917453069007</v>
      </c>
      <c r="AJ91" s="63">
        <f>'Local multi year dist'!BB91</f>
        <v>3465.5837593870715</v>
      </c>
      <c r="AK91" s="63">
        <f>'Local multi year dist'!BC91</f>
        <v>3465.5837593870715</v>
      </c>
      <c r="AL91" s="63">
        <f>'Local multi year dist'!BD91</f>
        <v>2501.3250677301558</v>
      </c>
      <c r="AN91" s="63">
        <f>'Local multi year dist'!BF91</f>
        <v>0</v>
      </c>
      <c r="AO91" s="63">
        <f>'Local multi year dist'!BG91</f>
        <v>3004.0498202739495</v>
      </c>
      <c r="AP91" s="63">
        <f>'Local multi year dist'!BH91</f>
        <v>3477.342213788153</v>
      </c>
      <c r="AQ91" s="63">
        <f>'Local multi year dist'!BI91</f>
        <v>1354.1263765781948</v>
      </c>
      <c r="AR91" s="63">
        <f>'Local multi year dist'!BJ91</f>
        <v>1485.6903865397276</v>
      </c>
      <c r="AS91" s="63">
        <f>'Local multi year dist'!BK91</f>
        <v>1582.7834522805217</v>
      </c>
      <c r="AT91" s="63">
        <f>'Local multi year dist'!BL91</f>
        <v>1191.2587943359297</v>
      </c>
      <c r="AU91" s="63">
        <f>'Local multi year dist'!BM91</f>
        <v>1694.181691853702</v>
      </c>
      <c r="AV91" s="63">
        <f>'Local multi year dist'!BN91</f>
        <v>1704.3498477634037</v>
      </c>
      <c r="AW91" s="63">
        <f>'Local multi year dist'!BO91</f>
        <v>1585.0781663769931</v>
      </c>
      <c r="AX91" s="63">
        <f>'Local multi year dist'!BP91</f>
        <v>1466.2400629661352</v>
      </c>
      <c r="AY91" s="63">
        <f>'Local multi year dist'!BQ91</f>
        <v>1342.6236077546964</v>
      </c>
      <c r="AZ91" s="63">
        <f>'Local multi year dist'!BR91</f>
        <v>1048.2293632672518</v>
      </c>
      <c r="BA91" s="63">
        <f>'Local multi year dist'!BS91</f>
        <v>1048.2293632672518</v>
      </c>
      <c r="BB91" s="63">
        <f>'Local multi year dist'!BT91</f>
        <v>1048.2293632672518</v>
      </c>
      <c r="BC91" s="63">
        <f>'Local multi year dist'!BU91</f>
        <v>866.39593984676787</v>
      </c>
      <c r="BD91" s="63">
        <f>'Local multi year dist'!BV91</f>
        <v>866.39593984676787</v>
      </c>
      <c r="BE91" s="63">
        <f>'Local multi year dist'!BW91</f>
        <v>625.33126693253894</v>
      </c>
      <c r="BF91" s="63"/>
      <c r="BG91" s="63"/>
      <c r="BH91" s="63"/>
      <c r="BI91" s="63"/>
      <c r="BJ91" s="63"/>
      <c r="BK91" s="63"/>
      <c r="BL91" s="63"/>
      <c r="BM91" s="63"/>
      <c r="BN91" s="63"/>
      <c r="BO91" s="63"/>
      <c r="BP91" s="63"/>
      <c r="BQ91" s="63"/>
    </row>
    <row r="92" spans="1:69" x14ac:dyDescent="0.25">
      <c r="A92" t="str">
        <f>'Local multi year dist'!S92</f>
        <v>Norton City</v>
      </c>
      <c r="B92" s="63">
        <f>'Local multi year dist'!T92</f>
        <v>4472.9848328582348</v>
      </c>
      <c r="C92" s="63">
        <f>'Local multi year dist'!U92</f>
        <v>28316.432616416809</v>
      </c>
      <c r="D92" s="63">
        <f>'Local multi year dist'!V92</f>
        <v>34921.407020113358</v>
      </c>
      <c r="E92" s="63">
        <f>'Local multi year dist'!W92</f>
        <v>13392.282283164028</v>
      </c>
      <c r="F92" s="63">
        <f>'Local multi year dist'!X92</f>
        <v>14390.872770812472</v>
      </c>
      <c r="G92" s="63">
        <f>'Local multi year dist'!Y92</f>
        <v>15294.06408002916</v>
      </c>
      <c r="H92" s="63">
        <f>'Local multi year dist'!Z92</f>
        <v>11651.974238684121</v>
      </c>
      <c r="I92" s="63">
        <f>'Local multi year dist'!AA92</f>
        <v>16330.326773733163</v>
      </c>
      <c r="J92" s="63">
        <f>'Local multi year dist'!AB92</f>
        <v>16404.628707311964</v>
      </c>
      <c r="K92" s="63">
        <f>'Local multi year dist'!AC92</f>
        <v>15359.537718045358</v>
      </c>
      <c r="L92" s="63">
        <f>'Local multi year dist'!AD92</f>
        <v>14253.745047022612</v>
      </c>
      <c r="M92" s="63">
        <f>'Local multi year dist'!AE92</f>
        <v>13103.824533427834</v>
      </c>
      <c r="N92" s="63">
        <f>'Local multi year dist'!AF92</f>
        <v>10000.133273715241</v>
      </c>
      <c r="O92" s="63">
        <f>'Local multi year dist'!AG92</f>
        <v>10000.133273715241</v>
      </c>
      <c r="P92" s="63">
        <f>'Local multi year dist'!AH92</f>
        <v>10000.133273715241</v>
      </c>
      <c r="Q92" s="63">
        <f>'Local multi year dist'!AI92</f>
        <v>8308.6595674781802</v>
      </c>
      <c r="R92" s="63">
        <f>'Local multi year dist'!AJ92</f>
        <v>8308.6595674781802</v>
      </c>
      <c r="S92" s="63">
        <f>'Local multi year dist'!AK92</f>
        <v>5817.0350412329208</v>
      </c>
      <c r="T92" s="63"/>
      <c r="U92" s="63">
        <f>'Local multi year dist'!AM92</f>
        <v>0</v>
      </c>
      <c r="V92" s="63">
        <f>'Local multi year dist'!AN92</f>
        <v>10246.371480004169</v>
      </c>
      <c r="W92" s="63">
        <f>'Local multi year dist'!AO92</f>
        <v>11860.702124548739</v>
      </c>
      <c r="X92" s="63">
        <f>'Local multi year dist'!AP92</f>
        <v>4618.725625538028</v>
      </c>
      <c r="Y92" s="63">
        <f>'Local multi year dist'!AQ92</f>
        <v>5067.4710858719391</v>
      </c>
      <c r="Z92" s="63">
        <f>'Local multi year dist'!AR92</f>
        <v>5398.641232584725</v>
      </c>
      <c r="AA92" s="63">
        <f>'Local multi year dist'!AS92</f>
        <v>4063.2082907582098</v>
      </c>
      <c r="AB92" s="63">
        <f>'Local multi year dist'!AT92</f>
        <v>5778.6042202761919</v>
      </c>
      <c r="AC92" s="63">
        <f>'Local multi year dist'!AU92</f>
        <v>5813.2863024488188</v>
      </c>
      <c r="AD92" s="63">
        <f>'Local multi year dist'!AV92</f>
        <v>5406.4681643866425</v>
      </c>
      <c r="AE92" s="63">
        <f>'Local multi year dist'!AW92</f>
        <v>5001.1288969387551</v>
      </c>
      <c r="AF92" s="63">
        <f>'Local multi year dist'!AX92</f>
        <v>4579.4913752873363</v>
      </c>
      <c r="AG92" s="63">
        <f>'Local multi year dist'!AY92</f>
        <v>3575.3559677332619</v>
      </c>
      <c r="AH92" s="63">
        <f>'Local multi year dist'!AZ92</f>
        <v>3575.3559677332619</v>
      </c>
      <c r="AI92" s="63">
        <f>'Local multi year dist'!BA92</f>
        <v>3575.3559677332619</v>
      </c>
      <c r="AJ92" s="63">
        <f>'Local multi year dist'!BB92</f>
        <v>2955.1489421130068</v>
      </c>
      <c r="AK92" s="63">
        <f>'Local multi year dist'!BC92</f>
        <v>2955.1489421130068</v>
      </c>
      <c r="AL92" s="63">
        <f>'Local multi year dist'!BD92</f>
        <v>2132.9128484520706</v>
      </c>
      <c r="AN92" s="63">
        <f>'Local multi year dist'!BF92</f>
        <v>0</v>
      </c>
      <c r="AO92" s="63">
        <f>'Local multi year dist'!BG92</f>
        <v>2561.5928700010422</v>
      </c>
      <c r="AP92" s="63">
        <f>'Local multi year dist'!BH92</f>
        <v>2965.1755311371849</v>
      </c>
      <c r="AQ92" s="63">
        <f>'Local multi year dist'!BI92</f>
        <v>1154.681406384507</v>
      </c>
      <c r="AR92" s="63">
        <f>'Local multi year dist'!BJ92</f>
        <v>1266.8677714679848</v>
      </c>
      <c r="AS92" s="63">
        <f>'Local multi year dist'!BK92</f>
        <v>1349.6603081461813</v>
      </c>
      <c r="AT92" s="63">
        <f>'Local multi year dist'!BL92</f>
        <v>1015.8020726895525</v>
      </c>
      <c r="AU92" s="63">
        <f>'Local multi year dist'!BM92</f>
        <v>1444.651055069048</v>
      </c>
      <c r="AV92" s="63">
        <f>'Local multi year dist'!BN92</f>
        <v>1453.3215756122047</v>
      </c>
      <c r="AW92" s="63">
        <f>'Local multi year dist'!BO92</f>
        <v>1351.6170410966606</v>
      </c>
      <c r="AX92" s="63">
        <f>'Local multi year dist'!BP92</f>
        <v>1250.2822242346888</v>
      </c>
      <c r="AY92" s="63">
        <f>'Local multi year dist'!BQ92</f>
        <v>1144.8728438218341</v>
      </c>
      <c r="AZ92" s="63">
        <f>'Local multi year dist'!BR92</f>
        <v>893.83899193331547</v>
      </c>
      <c r="BA92" s="63">
        <f>'Local multi year dist'!BS92</f>
        <v>893.83899193331547</v>
      </c>
      <c r="BB92" s="63">
        <f>'Local multi year dist'!BT92</f>
        <v>893.83899193331547</v>
      </c>
      <c r="BC92" s="63">
        <f>'Local multi year dist'!BU92</f>
        <v>738.7872355282517</v>
      </c>
      <c r="BD92" s="63">
        <f>'Local multi year dist'!BV92</f>
        <v>738.7872355282517</v>
      </c>
      <c r="BE92" s="63">
        <f>'Local multi year dist'!BW92</f>
        <v>533.22821211301766</v>
      </c>
      <c r="BF92" s="63"/>
      <c r="BG92" s="63"/>
      <c r="BH92" s="63"/>
      <c r="BI92" s="63"/>
      <c r="BJ92" s="63"/>
      <c r="BK92" s="63"/>
      <c r="BL92" s="63"/>
      <c r="BM92" s="63"/>
      <c r="BN92" s="63"/>
      <c r="BO92" s="63"/>
      <c r="BP92" s="63"/>
      <c r="BQ92" s="63"/>
    </row>
    <row r="93" spans="1:69" x14ac:dyDescent="0.25">
      <c r="A93" t="str">
        <f>'Local multi year dist'!S93</f>
        <v>Nottoway County</v>
      </c>
      <c r="B93" s="63">
        <f>'Local multi year dist'!T93</f>
        <v>5408.245297910411</v>
      </c>
      <c r="C93" s="63">
        <f>'Local multi year dist'!U93</f>
        <v>34237.141254394868</v>
      </c>
      <c r="D93" s="63">
        <f>'Local multi year dist'!V93</f>
        <v>42223.155760682515</v>
      </c>
      <c r="E93" s="63">
        <f>'Local multi year dist'!W93</f>
        <v>16192.486760552871</v>
      </c>
      <c r="F93" s="63">
        <f>'Local multi year dist'!X93</f>
        <v>17399.873441073261</v>
      </c>
      <c r="G93" s="63">
        <f>'Local multi year dist'!Y93</f>
        <v>18491.913842217073</v>
      </c>
      <c r="H93" s="63">
        <f>'Local multi year dist'!Z93</f>
        <v>14088.296124954435</v>
      </c>
      <c r="I93" s="63">
        <f>'Local multi year dist'!AA93</f>
        <v>19744.849644604641</v>
      </c>
      <c r="J93" s="63">
        <f>'Local multi year dist'!AB93</f>
        <v>19834.687437022647</v>
      </c>
      <c r="K93" s="63">
        <f>'Local multi year dist'!AC93</f>
        <v>18571.077422727569</v>
      </c>
      <c r="L93" s="63">
        <f>'Local multi year dist'!AD93</f>
        <v>17234.073556854612</v>
      </c>
      <c r="M93" s="63">
        <f>'Local multi year dist'!AE93</f>
        <v>15843.715117690019</v>
      </c>
      <c r="N93" s="63">
        <f>'Local multi year dist'!AF93</f>
        <v>12091.070230946607</v>
      </c>
      <c r="O93" s="63">
        <f>'Local multi year dist'!AG93</f>
        <v>12091.070230946607</v>
      </c>
      <c r="P93" s="63">
        <f>'Local multi year dist'!AH93</f>
        <v>12091.070230946607</v>
      </c>
      <c r="Q93" s="63">
        <f>'Local multi year dist'!AI93</f>
        <v>10045.92474976907</v>
      </c>
      <c r="R93" s="63">
        <f>'Local multi year dist'!AJ93</f>
        <v>10045.92474976907</v>
      </c>
      <c r="S93" s="63">
        <f>'Local multi year dist'!AK93</f>
        <v>7033.3241862179848</v>
      </c>
      <c r="T93" s="63"/>
      <c r="U93" s="63">
        <f>'Local multi year dist'!AM93</f>
        <v>0</v>
      </c>
      <c r="V93" s="63">
        <f>'Local multi year dist'!AN93</f>
        <v>12388.794607641403</v>
      </c>
      <c r="W93" s="63">
        <f>'Local multi year dist'!AO93</f>
        <v>14340.66711422711</v>
      </c>
      <c r="X93" s="63">
        <f>'Local multi year dist'!AP93</f>
        <v>5584.4591654232518</v>
      </c>
      <c r="Y93" s="63">
        <f>'Local multi year dist'!AQ93</f>
        <v>6127.0332220087985</v>
      </c>
      <c r="Z93" s="63">
        <f>'Local multi year dist'!AR93</f>
        <v>6527.4480357615303</v>
      </c>
      <c r="AA93" s="63">
        <f>'Local multi year dist'!AS93</f>
        <v>4912.7882060985621</v>
      </c>
      <c r="AB93" s="63">
        <f>'Local multi year dist'!AT93</f>
        <v>6986.8578299703049</v>
      </c>
      <c r="AC93" s="63">
        <f>'Local multi year dist'!AU93</f>
        <v>7028.7916202335709</v>
      </c>
      <c r="AD93" s="63">
        <f>'Local multi year dist'!AV93</f>
        <v>6536.9115078493041</v>
      </c>
      <c r="AE93" s="63">
        <f>'Local multi year dist'!AW93</f>
        <v>6046.8194844804948</v>
      </c>
      <c r="AF93" s="63">
        <f>'Local multi year dist'!AX93</f>
        <v>5537.0213901201432</v>
      </c>
      <c r="AG93" s="63">
        <f>'Local multi year dist'!AY93</f>
        <v>4322.9303973502165</v>
      </c>
      <c r="AH93" s="63">
        <f>'Local multi year dist'!AZ93</f>
        <v>4322.9303973502165</v>
      </c>
      <c r="AI93" s="63">
        <f>'Local multi year dist'!BA93</f>
        <v>4322.9303973502165</v>
      </c>
      <c r="AJ93" s="63">
        <f>'Local multi year dist'!BB93</f>
        <v>3573.0437209184533</v>
      </c>
      <c r="AK93" s="63">
        <f>'Local multi year dist'!BC93</f>
        <v>3573.0437209184533</v>
      </c>
      <c r="AL93" s="63">
        <f>'Local multi year dist'!BD93</f>
        <v>2578.8855349465944</v>
      </c>
      <c r="AN93" s="63">
        <f>'Local multi year dist'!BF93</f>
        <v>0</v>
      </c>
      <c r="AO93" s="63">
        <f>'Local multi year dist'!BG93</f>
        <v>3097.1986519103507</v>
      </c>
      <c r="AP93" s="63">
        <f>'Local multi year dist'!BH93</f>
        <v>3585.1667785567774</v>
      </c>
      <c r="AQ93" s="63">
        <f>'Local multi year dist'!BI93</f>
        <v>1396.1147913558129</v>
      </c>
      <c r="AR93" s="63">
        <f>'Local multi year dist'!BJ93</f>
        <v>1531.7583055021996</v>
      </c>
      <c r="AS93" s="63">
        <f>'Local multi year dist'!BK93</f>
        <v>1631.8620089403826</v>
      </c>
      <c r="AT93" s="63">
        <f>'Local multi year dist'!BL93</f>
        <v>1228.1970515246405</v>
      </c>
      <c r="AU93" s="63">
        <f>'Local multi year dist'!BM93</f>
        <v>1746.7144574925762</v>
      </c>
      <c r="AV93" s="63">
        <f>'Local multi year dist'!BN93</f>
        <v>1757.1979050583927</v>
      </c>
      <c r="AW93" s="63">
        <f>'Local multi year dist'!BO93</f>
        <v>1634.227876962326</v>
      </c>
      <c r="AX93" s="63">
        <f>'Local multi year dist'!BP93</f>
        <v>1511.7048711201237</v>
      </c>
      <c r="AY93" s="63">
        <f>'Local multi year dist'!BQ93</f>
        <v>1384.2553475300358</v>
      </c>
      <c r="AZ93" s="63">
        <f>'Local multi year dist'!BR93</f>
        <v>1080.7325993375541</v>
      </c>
      <c r="BA93" s="63">
        <f>'Local multi year dist'!BS93</f>
        <v>1080.7325993375541</v>
      </c>
      <c r="BB93" s="63">
        <f>'Local multi year dist'!BT93</f>
        <v>1080.7325993375541</v>
      </c>
      <c r="BC93" s="63">
        <f>'Local multi year dist'!BU93</f>
        <v>893.26093022961334</v>
      </c>
      <c r="BD93" s="63">
        <f>'Local multi year dist'!BV93</f>
        <v>893.26093022961334</v>
      </c>
      <c r="BE93" s="63">
        <f>'Local multi year dist'!BW93</f>
        <v>644.72138373664859</v>
      </c>
      <c r="BF93" s="63"/>
      <c r="BG93" s="63"/>
      <c r="BH93" s="63"/>
      <c r="BI93" s="63"/>
      <c r="BJ93" s="63"/>
      <c r="BK93" s="63"/>
      <c r="BL93" s="63"/>
      <c r="BM93" s="63"/>
      <c r="BN93" s="63"/>
      <c r="BO93" s="63"/>
      <c r="BP93" s="63"/>
      <c r="BQ93" s="63"/>
    </row>
    <row r="94" spans="1:69" x14ac:dyDescent="0.25">
      <c r="A94" t="str">
        <f>'Local multi year dist'!S94</f>
        <v>Orange County</v>
      </c>
      <c r="B94" s="63">
        <f>'Local multi year dist'!T94</f>
        <v>25943.312030577803</v>
      </c>
      <c r="C94" s="63">
        <f>'Local multi year dist'!U94</f>
        <v>164235.30917521773</v>
      </c>
      <c r="D94" s="63">
        <f>'Local multi year dist'!V94</f>
        <v>202544.16071665779</v>
      </c>
      <c r="E94" s="63">
        <f>'Local multi year dist'!W94</f>
        <v>77675.23724235149</v>
      </c>
      <c r="F94" s="63">
        <f>'Local multi year dist'!X94</f>
        <v>83467.062070712462</v>
      </c>
      <c r="G94" s="63">
        <f>'Local multi year dist'!Y94</f>
        <v>88705.571664169256</v>
      </c>
      <c r="H94" s="63">
        <f>'Local multi year dist'!Z94</f>
        <v>67581.450584367994</v>
      </c>
      <c r="I94" s="63">
        <f>'Local multi year dist'!AA94</f>
        <v>94715.895287652485</v>
      </c>
      <c r="J94" s="63">
        <f>'Local multi year dist'!AB94</f>
        <v>95146.846502409549</v>
      </c>
      <c r="K94" s="63">
        <f>'Local multi year dist'!AC94</f>
        <v>89085.318764663214</v>
      </c>
      <c r="L94" s="63">
        <f>'Local multi year dist'!AD94</f>
        <v>82671.721272731273</v>
      </c>
      <c r="M94" s="63">
        <f>'Local multi year dist'!AE94</f>
        <v>76002.18229388156</v>
      </c>
      <c r="N94" s="63">
        <f>'Local multi year dist'!AF94</f>
        <v>58000.77298754848</v>
      </c>
      <c r="O94" s="63">
        <f>'Local multi year dist'!AG94</f>
        <v>58000.77298754848</v>
      </c>
      <c r="P94" s="63">
        <f>'Local multi year dist'!AH94</f>
        <v>58000.77298754848</v>
      </c>
      <c r="Q94" s="63">
        <f>'Local multi year dist'!AI94</f>
        <v>48190.225491373516</v>
      </c>
      <c r="R94" s="63">
        <f>'Local multi year dist'!AJ94</f>
        <v>48190.225491373516</v>
      </c>
      <c r="S94" s="63">
        <f>'Local multi year dist'!AK94</f>
        <v>33738.803239150991</v>
      </c>
      <c r="T94" s="63"/>
      <c r="U94" s="63">
        <f>'Local multi year dist'!AM94</f>
        <v>0</v>
      </c>
      <c r="V94" s="63">
        <f>'Local multi year dist'!AN94</f>
        <v>59428.954584024272</v>
      </c>
      <c r="W94" s="63">
        <f>'Local multi year dist'!AO94</f>
        <v>68792.072322382795</v>
      </c>
      <c r="X94" s="63">
        <f>'Local multi year dist'!AP94</f>
        <v>26788.608628120604</v>
      </c>
      <c r="Y94" s="63">
        <f>'Local multi year dist'!AQ94</f>
        <v>29391.332298057292</v>
      </c>
      <c r="Z94" s="63">
        <f>'Local multi year dist'!AR94</f>
        <v>31312.119148991453</v>
      </c>
      <c r="AA94" s="63">
        <f>'Local multi year dist'!AS94</f>
        <v>23566.608086397653</v>
      </c>
      <c r="AB94" s="63">
        <f>'Local multi year dist'!AT94</f>
        <v>33515.904477601965</v>
      </c>
      <c r="AC94" s="63">
        <f>'Local multi year dist'!AU94</f>
        <v>33717.060554203199</v>
      </c>
      <c r="AD94" s="63">
        <f>'Local multi year dist'!AV94</f>
        <v>31357.515353442577</v>
      </c>
      <c r="AE94" s="63">
        <f>'Local multi year dist'!AW94</f>
        <v>29006.547602244824</v>
      </c>
      <c r="AF94" s="63">
        <f>'Local multi year dist'!AX94</f>
        <v>26561.049976666593</v>
      </c>
      <c r="AG94" s="63">
        <f>'Local multi year dist'!AY94</f>
        <v>20737.064612852952</v>
      </c>
      <c r="AH94" s="63">
        <f>'Local multi year dist'!AZ94</f>
        <v>20737.064612852952</v>
      </c>
      <c r="AI94" s="63">
        <f>'Local multi year dist'!BA94</f>
        <v>20737.064612852952</v>
      </c>
      <c r="AJ94" s="63">
        <f>'Local multi year dist'!BB94</f>
        <v>17139.863864255465</v>
      </c>
      <c r="AK94" s="63">
        <f>'Local multi year dist'!BC94</f>
        <v>17139.863864255465</v>
      </c>
      <c r="AL94" s="63">
        <f>'Local multi year dist'!BD94</f>
        <v>12370.894521022028</v>
      </c>
      <c r="AN94" s="63">
        <f>'Local multi year dist'!BF94</f>
        <v>0</v>
      </c>
      <c r="AO94" s="63">
        <f>'Local multi year dist'!BG94</f>
        <v>14857.238646006068</v>
      </c>
      <c r="AP94" s="63">
        <f>'Local multi year dist'!BH94</f>
        <v>17198.018080595699</v>
      </c>
      <c r="AQ94" s="63">
        <f>'Local multi year dist'!BI94</f>
        <v>6697.1521570301511</v>
      </c>
      <c r="AR94" s="63">
        <f>'Local multi year dist'!BJ94</f>
        <v>7347.833074514323</v>
      </c>
      <c r="AS94" s="63">
        <f>'Local multi year dist'!BK94</f>
        <v>7828.0297872478632</v>
      </c>
      <c r="AT94" s="63">
        <f>'Local multi year dist'!BL94</f>
        <v>5891.6520215994133</v>
      </c>
      <c r="AU94" s="63">
        <f>'Local multi year dist'!BM94</f>
        <v>8378.9761194004914</v>
      </c>
      <c r="AV94" s="63">
        <f>'Local multi year dist'!BN94</f>
        <v>8429.2651385507997</v>
      </c>
      <c r="AW94" s="63">
        <f>'Local multi year dist'!BO94</f>
        <v>7839.3788383606443</v>
      </c>
      <c r="AX94" s="63">
        <f>'Local multi year dist'!BP94</f>
        <v>7251.6369005612059</v>
      </c>
      <c r="AY94" s="63">
        <f>'Local multi year dist'!BQ94</f>
        <v>6640.2624941666481</v>
      </c>
      <c r="AZ94" s="63">
        <f>'Local multi year dist'!BR94</f>
        <v>5184.2661532132379</v>
      </c>
      <c r="BA94" s="63">
        <f>'Local multi year dist'!BS94</f>
        <v>5184.2661532132379</v>
      </c>
      <c r="BB94" s="63">
        <f>'Local multi year dist'!BT94</f>
        <v>5184.2661532132379</v>
      </c>
      <c r="BC94" s="63">
        <f>'Local multi year dist'!BU94</f>
        <v>4284.9659660638663</v>
      </c>
      <c r="BD94" s="63">
        <f>'Local multi year dist'!BV94</f>
        <v>4284.9659660638663</v>
      </c>
      <c r="BE94" s="63">
        <f>'Local multi year dist'!BW94</f>
        <v>3092.723630255507</v>
      </c>
      <c r="BF94" s="63"/>
      <c r="BG94" s="63"/>
      <c r="BH94" s="63"/>
      <c r="BI94" s="63"/>
      <c r="BJ94" s="63"/>
      <c r="BK94" s="63"/>
      <c r="BL94" s="63"/>
      <c r="BM94" s="63"/>
      <c r="BN94" s="63"/>
      <c r="BO94" s="63"/>
      <c r="BP94" s="63"/>
      <c r="BQ94" s="63"/>
    </row>
    <row r="95" spans="1:69" x14ac:dyDescent="0.25">
      <c r="A95" t="str">
        <f>'Local multi year dist'!S95</f>
        <v>Page County</v>
      </c>
      <c r="B95" s="63">
        <f>'Local multi year dist'!T95</f>
        <v>16672.034377017055</v>
      </c>
      <c r="C95" s="63">
        <f>'Local multi year dist'!U95</f>
        <v>105543.06702482628</v>
      </c>
      <c r="D95" s="63">
        <f>'Local multi year dist'!V95</f>
        <v>130161.60798405886</v>
      </c>
      <c r="E95" s="63">
        <f>'Local multi year dist'!W95</f>
        <v>49916.688509975014</v>
      </c>
      <c r="F95" s="63">
        <f>'Local multi year dist'!X95</f>
        <v>53638.707600301022</v>
      </c>
      <c r="G95" s="63">
        <f>'Local multi year dist'!Y95</f>
        <v>57005.147934654138</v>
      </c>
      <c r="H95" s="63">
        <f>'Local multi year dist'!Z95</f>
        <v>43430.085798731714</v>
      </c>
      <c r="I95" s="63">
        <f>'Local multi year dist'!AA95</f>
        <v>60867.581611187234</v>
      </c>
      <c r="J95" s="63">
        <f>'Local multi year dist'!AB95</f>
        <v>61144.525181799137</v>
      </c>
      <c r="K95" s="63">
        <f>'Local multi year dist'!AC95</f>
        <v>57249.186039987238</v>
      </c>
      <c r="L95" s="63">
        <f>'Local multi year dist'!AD95</f>
        <v>53127.595175266099</v>
      </c>
      <c r="M95" s="63">
        <f>'Local multi year dist'!AE95</f>
        <v>48841.527806412836</v>
      </c>
      <c r="N95" s="63">
        <f>'Local multi year dist'!AF95</f>
        <v>37273.224020211346</v>
      </c>
      <c r="O95" s="63">
        <f>'Local multi year dist'!AG95</f>
        <v>37273.224020211346</v>
      </c>
      <c r="P95" s="63">
        <f>'Local multi year dist'!AH95</f>
        <v>37273.224020211346</v>
      </c>
      <c r="Q95" s="63">
        <f>'Local multi year dist'!AI95</f>
        <v>30968.640206055028</v>
      </c>
      <c r="R95" s="63">
        <f>'Local multi year dist'!AJ95</f>
        <v>30968.640206055028</v>
      </c>
      <c r="S95" s="63">
        <f>'Local multi year dist'!AK95</f>
        <v>21681.676062777246</v>
      </c>
      <c r="T95" s="63"/>
      <c r="U95" s="63">
        <f>'Local multi year dist'!AM95</f>
        <v>0</v>
      </c>
      <c r="V95" s="63">
        <f>'Local multi year dist'!AN95</f>
        <v>38191.020970924626</v>
      </c>
      <c r="W95" s="63">
        <f>'Local multi year dist'!AO95</f>
        <v>44208.071555136201</v>
      </c>
      <c r="X95" s="63">
        <f>'Local multi year dist'!AP95</f>
        <v>17215.25005882356</v>
      </c>
      <c r="Y95" s="63">
        <f>'Local multi year dist'!AQ95</f>
        <v>18887.84677461359</v>
      </c>
      <c r="Z95" s="63">
        <f>'Local multi year dist'!AR95</f>
        <v>20122.208230543063</v>
      </c>
      <c r="AA95" s="63">
        <f>'Local multi year dist'!AS95</f>
        <v>15144.685447371507</v>
      </c>
      <c r="AB95" s="63">
        <f>'Local multi year dist'!AT95</f>
        <v>21538.433911938533</v>
      </c>
      <c r="AC95" s="63">
        <f>'Local multi year dist'!AU95</f>
        <v>21667.703490945594</v>
      </c>
      <c r="AD95" s="63">
        <f>'Local multi year dist'!AV95</f>
        <v>20151.381339986576</v>
      </c>
      <c r="AE95" s="63">
        <f>'Local multi year dist'!AW95</f>
        <v>18640.571343135358</v>
      </c>
      <c r="AF95" s="63">
        <f>'Local multi year dist'!AX95</f>
        <v>17069.013307889163</v>
      </c>
      <c r="AG95" s="63">
        <f>'Local multi year dist'!AY95</f>
        <v>13326.326788823975</v>
      </c>
      <c r="AH95" s="63">
        <f>'Local multi year dist'!AZ95</f>
        <v>13326.326788823975</v>
      </c>
      <c r="AI95" s="63">
        <f>'Local multi year dist'!BA95</f>
        <v>13326.326788823975</v>
      </c>
      <c r="AJ95" s="63">
        <f>'Local multi year dist'!BB95</f>
        <v>11014.64605696666</v>
      </c>
      <c r="AK95" s="63">
        <f>'Local multi year dist'!BC95</f>
        <v>11014.64605696666</v>
      </c>
      <c r="AL95" s="63">
        <f>'Local multi year dist'!BD95</f>
        <v>7949.9478896849896</v>
      </c>
      <c r="AN95" s="63">
        <f>'Local multi year dist'!BF95</f>
        <v>0</v>
      </c>
      <c r="AO95" s="63">
        <f>'Local multi year dist'!BG95</f>
        <v>9547.7552427311566</v>
      </c>
      <c r="AP95" s="63">
        <f>'Local multi year dist'!BH95</f>
        <v>11052.01788878405</v>
      </c>
      <c r="AQ95" s="63">
        <f>'Local multi year dist'!BI95</f>
        <v>4303.81251470589</v>
      </c>
      <c r="AR95" s="63">
        <f>'Local multi year dist'!BJ95</f>
        <v>4721.9616936533976</v>
      </c>
      <c r="AS95" s="63">
        <f>'Local multi year dist'!BK95</f>
        <v>5030.5520576357658</v>
      </c>
      <c r="AT95" s="63">
        <f>'Local multi year dist'!BL95</f>
        <v>3786.1713618428766</v>
      </c>
      <c r="AU95" s="63">
        <f>'Local multi year dist'!BM95</f>
        <v>5384.6084779846333</v>
      </c>
      <c r="AV95" s="63">
        <f>'Local multi year dist'!BN95</f>
        <v>5416.9258727363986</v>
      </c>
      <c r="AW95" s="63">
        <f>'Local multi year dist'!BO95</f>
        <v>5037.8453349966439</v>
      </c>
      <c r="AX95" s="63">
        <f>'Local multi year dist'!BP95</f>
        <v>4660.1428357838395</v>
      </c>
      <c r="AY95" s="63">
        <f>'Local multi year dist'!BQ95</f>
        <v>4267.2533269722908</v>
      </c>
      <c r="AZ95" s="63">
        <f>'Local multi year dist'!BR95</f>
        <v>3331.5816972059938</v>
      </c>
      <c r="BA95" s="63">
        <f>'Local multi year dist'!BS95</f>
        <v>3331.5816972059938</v>
      </c>
      <c r="BB95" s="63">
        <f>'Local multi year dist'!BT95</f>
        <v>3331.5816972059938</v>
      </c>
      <c r="BC95" s="63">
        <f>'Local multi year dist'!BU95</f>
        <v>2753.6615142416649</v>
      </c>
      <c r="BD95" s="63">
        <f>'Local multi year dist'!BV95</f>
        <v>2753.6615142416649</v>
      </c>
      <c r="BE95" s="63">
        <f>'Local multi year dist'!BW95</f>
        <v>1987.4869724212474</v>
      </c>
      <c r="BF95" s="63"/>
      <c r="BG95" s="63"/>
      <c r="BH95" s="63"/>
      <c r="BI95" s="63"/>
      <c r="BJ95" s="63"/>
      <c r="BK95" s="63"/>
      <c r="BL95" s="63"/>
      <c r="BM95" s="63"/>
      <c r="BN95" s="63"/>
      <c r="BO95" s="63"/>
      <c r="BP95" s="63"/>
      <c r="BQ95" s="63"/>
    </row>
    <row r="96" spans="1:69" x14ac:dyDescent="0.25">
      <c r="A96" t="str">
        <f>'Local multi year dist'!S96</f>
        <v>Patrick County</v>
      </c>
      <c r="B96" s="63">
        <f>'Local multi year dist'!T96</f>
        <v>13378.291000094176</v>
      </c>
      <c r="C96" s="63">
        <f>'Local multi year dist'!U96</f>
        <v>84691.875734555724</v>
      </c>
      <c r="D96" s="63">
        <f>'Local multi year dist'!V96</f>
        <v>104446.75372379359</v>
      </c>
      <c r="E96" s="63">
        <f>'Local multi year dist'!W96</f>
        <v>40055.098828736052</v>
      </c>
      <c r="F96" s="63">
        <f>'Local multi year dist'!X96</f>
        <v>43041.79219633912</v>
      </c>
      <c r="G96" s="63">
        <f>'Local multi year dist'!Y96</f>
        <v>45743.155293905395</v>
      </c>
      <c r="H96" s="63">
        <f>'Local multi year dist'!Z96</f>
        <v>34849.995677518869</v>
      </c>
      <c r="I96" s="63">
        <f>'Local multi year dist'!AA96</f>
        <v>48842.522805074637</v>
      </c>
      <c r="J96" s="63">
        <f>'Local multi year dist'!AB96</f>
        <v>49064.753133687605</v>
      </c>
      <c r="K96" s="63">
        <f>'Local multi year dist'!AC96</f>
        <v>45938.980993062934</v>
      </c>
      <c r="L96" s="63">
        <f>'Local multi year dist'!AD96</f>
        <v>42631.655640640362</v>
      </c>
      <c r="M96" s="63">
        <f>'Local multi year dist'!AE96</f>
        <v>39192.347922706889</v>
      </c>
      <c r="N96" s="63">
        <f>'Local multi year dist'!AF96</f>
        <v>29909.489518657399</v>
      </c>
      <c r="O96" s="63">
        <f>'Local multi year dist'!AG96</f>
        <v>29909.489518657399</v>
      </c>
      <c r="P96" s="63">
        <f>'Local multi year dist'!AH96</f>
        <v>29909.489518657399</v>
      </c>
      <c r="Q96" s="63">
        <f>'Local multi year dist'!AI96</f>
        <v>24850.445433639285</v>
      </c>
      <c r="R96" s="63">
        <f>'Local multi year dist'!AJ96</f>
        <v>24850.445433639285</v>
      </c>
      <c r="S96" s="63">
        <f>'Local multi year dist'!AK96</f>
        <v>17398.222986960282</v>
      </c>
      <c r="T96" s="63"/>
      <c r="U96" s="63">
        <f>'Local multi year dist'!AM96</f>
        <v>0</v>
      </c>
      <c r="V96" s="63">
        <f>'Local multi year dist'!AN96</f>
        <v>30645.965608376107</v>
      </c>
      <c r="W96" s="63">
        <f>'Local multi year dist'!AO96</f>
        <v>35474.281808877589</v>
      </c>
      <c r="X96" s="63">
        <f>'Local multi year dist'!AP96</f>
        <v>13814.188461836467</v>
      </c>
      <c r="Y96" s="63">
        <f>'Local multi year dist'!AQ96</f>
        <v>15156.345338653346</v>
      </c>
      <c r="Z96" s="63">
        <f>'Local multi year dist'!AR96</f>
        <v>16146.845141094313</v>
      </c>
      <c r="AA96" s="63">
        <f>'Local multi year dist'!AS96</f>
        <v>12152.686615085919</v>
      </c>
      <c r="AB96" s="63">
        <f>'Local multi year dist'!AT96</f>
        <v>17283.279895189702</v>
      </c>
      <c r="AC96" s="63">
        <f>'Local multi year dist'!AU96</f>
        <v>17387.010850051465</v>
      </c>
      <c r="AD96" s="63">
        <f>'Local multi year dist'!AV96</f>
        <v>16170.254782574595</v>
      </c>
      <c r="AE96" s="63">
        <f>'Local multi year dist'!AW96</f>
        <v>14957.921882662278</v>
      </c>
      <c r="AF96" s="63">
        <f>'Local multi year dist'!AX96</f>
        <v>13696.842386086671</v>
      </c>
      <c r="AG96" s="63">
        <f>'Local multi year dist'!AY96</f>
        <v>10693.564667129483</v>
      </c>
      <c r="AH96" s="63">
        <f>'Local multi year dist'!AZ96</f>
        <v>10693.564667129483</v>
      </c>
      <c r="AI96" s="63">
        <f>'Local multi year dist'!BA96</f>
        <v>10693.564667129483</v>
      </c>
      <c r="AJ96" s="63">
        <f>'Local multi year dist'!BB96</f>
        <v>8838.5818359561745</v>
      </c>
      <c r="AK96" s="63">
        <f>'Local multi year dist'!BC96</f>
        <v>8838.5818359561745</v>
      </c>
      <c r="AL96" s="63">
        <f>'Local multi year dist'!BD96</f>
        <v>6379.3484285521026</v>
      </c>
      <c r="AN96" s="63">
        <f>'Local multi year dist'!BF96</f>
        <v>0</v>
      </c>
      <c r="AO96" s="63">
        <f>'Local multi year dist'!BG96</f>
        <v>7661.4914020940269</v>
      </c>
      <c r="AP96" s="63">
        <f>'Local multi year dist'!BH96</f>
        <v>8868.5704522193973</v>
      </c>
      <c r="AQ96" s="63">
        <f>'Local multi year dist'!BI96</f>
        <v>3453.5471154591169</v>
      </c>
      <c r="AR96" s="63">
        <f>'Local multi year dist'!BJ96</f>
        <v>3789.0863346633364</v>
      </c>
      <c r="AS96" s="63">
        <f>'Local multi year dist'!BK96</f>
        <v>4036.7112852735781</v>
      </c>
      <c r="AT96" s="63">
        <f>'Local multi year dist'!BL96</f>
        <v>3038.1716537714797</v>
      </c>
      <c r="AU96" s="63">
        <f>'Local multi year dist'!BM96</f>
        <v>4320.8199737974255</v>
      </c>
      <c r="AV96" s="63">
        <f>'Local multi year dist'!BN96</f>
        <v>4346.7527125128663</v>
      </c>
      <c r="AW96" s="63">
        <f>'Local multi year dist'!BO96</f>
        <v>4042.5636956436488</v>
      </c>
      <c r="AX96" s="63">
        <f>'Local multi year dist'!BP96</f>
        <v>3739.4804706655696</v>
      </c>
      <c r="AY96" s="63">
        <f>'Local multi year dist'!BQ96</f>
        <v>3424.2105965216679</v>
      </c>
      <c r="AZ96" s="63">
        <f>'Local multi year dist'!BR96</f>
        <v>2673.3911667823709</v>
      </c>
      <c r="BA96" s="63">
        <f>'Local multi year dist'!BS96</f>
        <v>2673.3911667823709</v>
      </c>
      <c r="BB96" s="63">
        <f>'Local multi year dist'!BT96</f>
        <v>2673.3911667823709</v>
      </c>
      <c r="BC96" s="63">
        <f>'Local multi year dist'!BU96</f>
        <v>2209.6454589890436</v>
      </c>
      <c r="BD96" s="63">
        <f>'Local multi year dist'!BV96</f>
        <v>2209.6454589890436</v>
      </c>
      <c r="BE96" s="63">
        <f>'Local multi year dist'!BW96</f>
        <v>1594.8371071380257</v>
      </c>
      <c r="BF96" s="63"/>
      <c r="BG96" s="63"/>
      <c r="BH96" s="63"/>
      <c r="BI96" s="63"/>
      <c r="BJ96" s="63"/>
      <c r="BK96" s="63"/>
      <c r="BL96" s="63"/>
      <c r="BM96" s="63"/>
      <c r="BN96" s="63"/>
      <c r="BO96" s="63"/>
      <c r="BP96" s="63"/>
      <c r="BQ96" s="63"/>
    </row>
    <row r="97" spans="1:69" x14ac:dyDescent="0.25">
      <c r="A97" t="str">
        <f>'Local multi year dist'!S97</f>
        <v>Petersburg City</v>
      </c>
      <c r="B97" s="63">
        <f>'Local multi year dist'!T97</f>
        <v>16062.081899809118</v>
      </c>
      <c r="C97" s="63">
        <f>'Local multi year dist'!U97</f>
        <v>101681.73530440583</v>
      </c>
      <c r="D97" s="63">
        <f>'Local multi year dist'!V97</f>
        <v>125399.59793586162</v>
      </c>
      <c r="E97" s="63">
        <f>'Local multi year dist'!W97</f>
        <v>48090.468198634473</v>
      </c>
      <c r="F97" s="63">
        <f>'Local multi year dist'!X97</f>
        <v>51676.315858826609</v>
      </c>
      <c r="G97" s="63">
        <f>'Local multi year dist'!Y97</f>
        <v>54919.593741922894</v>
      </c>
      <c r="H97" s="63">
        <f>'Local multi year dist'!Z97</f>
        <v>41841.180220729344</v>
      </c>
      <c r="I97" s="63">
        <f>'Local multi year dist'!AA97</f>
        <v>58640.718869314544</v>
      </c>
      <c r="J97" s="63">
        <f>'Local multi year dist'!AB97</f>
        <v>58907.530358074786</v>
      </c>
      <c r="K97" s="63">
        <f>'Local multi year dist'!AC97</f>
        <v>55154.703623890156</v>
      </c>
      <c r="L97" s="63">
        <f>'Local multi year dist'!AD97</f>
        <v>51183.902668853931</v>
      </c>
      <c r="M97" s="63">
        <f>'Local multi year dist'!AE97</f>
        <v>47054.642642763596</v>
      </c>
      <c r="N97" s="63">
        <f>'Local multi year dist'!AF97</f>
        <v>35909.569482886545</v>
      </c>
      <c r="O97" s="63">
        <f>'Local multi year dist'!AG97</f>
        <v>35909.569482886545</v>
      </c>
      <c r="P97" s="63">
        <f>'Local multi year dist'!AH97</f>
        <v>35909.569482886545</v>
      </c>
      <c r="Q97" s="63">
        <f>'Local multi year dist'!AI97</f>
        <v>29835.641174126191</v>
      </c>
      <c r="R97" s="63">
        <f>'Local multi year dist'!AJ97</f>
        <v>29835.641174126191</v>
      </c>
      <c r="S97" s="63">
        <f>'Local multi year dist'!AK97</f>
        <v>20888.444011700034</v>
      </c>
      <c r="T97" s="63"/>
      <c r="U97" s="63">
        <f>'Local multi year dist'!AM97</f>
        <v>0</v>
      </c>
      <c r="V97" s="63">
        <f>'Local multi year dist'!AN97</f>
        <v>36793.788496378613</v>
      </c>
      <c r="W97" s="63">
        <f>'Local multi year dist'!AO97</f>
        <v>42590.703083606837</v>
      </c>
      <c r="X97" s="63">
        <f>'Local multi year dist'!AP97</f>
        <v>16585.423837159284</v>
      </c>
      <c r="Y97" s="63">
        <f>'Local multi year dist'!AQ97</f>
        <v>18196.827990176509</v>
      </c>
      <c r="Z97" s="63">
        <f>'Local multi year dist'!AR97</f>
        <v>19386.02988064515</v>
      </c>
      <c r="AA97" s="63">
        <f>'Local multi year dist'!AS97</f>
        <v>14590.611589540846</v>
      </c>
      <c r="AB97" s="63">
        <f>'Local multi year dist'!AT97</f>
        <v>20750.442427355418</v>
      </c>
      <c r="AC97" s="63">
        <f>'Local multi year dist'!AU97</f>
        <v>20874.982631520757</v>
      </c>
      <c r="AD97" s="63">
        <f>'Local multi year dist'!AV97</f>
        <v>19414.135681206582</v>
      </c>
      <c r="AE97" s="63">
        <f>'Local multi year dist'!AW97</f>
        <v>17958.59922082553</v>
      </c>
      <c r="AF97" s="63">
        <f>'Local multi year dist'!AX97</f>
        <v>16444.537211259074</v>
      </c>
      <c r="AG97" s="63">
        <f>'Local multi year dist'!AY97</f>
        <v>12838.778247769442</v>
      </c>
      <c r="AH97" s="63">
        <f>'Local multi year dist'!AZ97</f>
        <v>12838.778247769442</v>
      </c>
      <c r="AI97" s="63">
        <f>'Local multi year dist'!BA97</f>
        <v>12838.778247769442</v>
      </c>
      <c r="AJ97" s="63">
        <f>'Local multi year dist'!BB97</f>
        <v>10611.671201223979</v>
      </c>
      <c r="AK97" s="63">
        <f>'Local multi year dist'!BC97</f>
        <v>10611.671201223979</v>
      </c>
      <c r="AL97" s="63">
        <f>'Local multi year dist'!BD97</f>
        <v>7659.0961376233454</v>
      </c>
      <c r="AN97" s="63">
        <f>'Local multi year dist'!BF97</f>
        <v>0</v>
      </c>
      <c r="AO97" s="63">
        <f>'Local multi year dist'!BG97</f>
        <v>9198.4471240946532</v>
      </c>
      <c r="AP97" s="63">
        <f>'Local multi year dist'!BH97</f>
        <v>10647.675770901709</v>
      </c>
      <c r="AQ97" s="63">
        <f>'Local multi year dist'!BI97</f>
        <v>4146.3559592898209</v>
      </c>
      <c r="AR97" s="63">
        <f>'Local multi year dist'!BJ97</f>
        <v>4549.2069975441273</v>
      </c>
      <c r="AS97" s="63">
        <f>'Local multi year dist'!BK97</f>
        <v>4846.5074701612875</v>
      </c>
      <c r="AT97" s="63">
        <f>'Local multi year dist'!BL97</f>
        <v>3647.6528973852114</v>
      </c>
      <c r="AU97" s="63">
        <f>'Local multi year dist'!BM97</f>
        <v>5187.6106068388544</v>
      </c>
      <c r="AV97" s="63">
        <f>'Local multi year dist'!BN97</f>
        <v>5218.7456578801894</v>
      </c>
      <c r="AW97" s="63">
        <f>'Local multi year dist'!BO97</f>
        <v>4853.5339203016456</v>
      </c>
      <c r="AX97" s="63">
        <f>'Local multi year dist'!BP97</f>
        <v>4489.6498052063826</v>
      </c>
      <c r="AY97" s="63">
        <f>'Local multi year dist'!BQ97</f>
        <v>4111.1343028147685</v>
      </c>
      <c r="AZ97" s="63">
        <f>'Local multi year dist'!BR97</f>
        <v>3209.6945619423605</v>
      </c>
      <c r="BA97" s="63">
        <f>'Local multi year dist'!BS97</f>
        <v>3209.6945619423605</v>
      </c>
      <c r="BB97" s="63">
        <f>'Local multi year dist'!BT97</f>
        <v>3209.6945619423605</v>
      </c>
      <c r="BC97" s="63">
        <f>'Local multi year dist'!BU97</f>
        <v>2652.9178003059947</v>
      </c>
      <c r="BD97" s="63">
        <f>'Local multi year dist'!BV97</f>
        <v>2652.9178003059947</v>
      </c>
      <c r="BE97" s="63">
        <f>'Local multi year dist'!BW97</f>
        <v>1914.7740344058363</v>
      </c>
      <c r="BF97" s="63"/>
      <c r="BG97" s="63"/>
      <c r="BH97" s="63"/>
      <c r="BI97" s="63"/>
      <c r="BJ97" s="63"/>
      <c r="BK97" s="63"/>
      <c r="BL97" s="63"/>
      <c r="BM97" s="63"/>
      <c r="BN97" s="63"/>
      <c r="BO97" s="63"/>
      <c r="BP97" s="63"/>
      <c r="BQ97" s="63"/>
    </row>
    <row r="98" spans="1:69" x14ac:dyDescent="0.25">
      <c r="A98" t="str">
        <f>'Local multi year dist'!S98</f>
        <v>Pittsylvania County</v>
      </c>
      <c r="B98" s="63">
        <f>'Local multi year dist'!T98</f>
        <v>30497.623860397092</v>
      </c>
      <c r="C98" s="63">
        <f>'Local multi year dist'!U98</f>
        <v>193066.58602102395</v>
      </c>
      <c r="D98" s="63">
        <f>'Local multi year dist'!V98</f>
        <v>238100.5024098641</v>
      </c>
      <c r="E98" s="63">
        <f>'Local multi year dist'!W98</f>
        <v>91311.015567027585</v>
      </c>
      <c r="F98" s="63">
        <f>'Local multi year dist'!X98</f>
        <v>98119.587073721515</v>
      </c>
      <c r="G98" s="63">
        <f>'Local multi year dist'!Y98</f>
        <v>104277.70963656258</v>
      </c>
      <c r="H98" s="63">
        <f>'Local multi year dist'!Z98</f>
        <v>79445.278900119098</v>
      </c>
      <c r="I98" s="63">
        <f>'Local multi year dist'!AA98</f>
        <v>111343.13709363533</v>
      </c>
      <c r="J98" s="63">
        <f>'Local multi year dist'!AB98</f>
        <v>111849.74118621809</v>
      </c>
      <c r="K98" s="63">
        <f>'Local multi year dist'!AC98</f>
        <v>104724.12080485484</v>
      </c>
      <c r="L98" s="63">
        <f>'Local multi year dist'!AD98</f>
        <v>97184.625320608844</v>
      </c>
      <c r="M98" s="63">
        <f>'Local multi year dist'!AE98</f>
        <v>89344.258182462625</v>
      </c>
      <c r="N98" s="63">
        <f>'Local multi year dist'!AF98</f>
        <v>68182.726866240366</v>
      </c>
      <c r="O98" s="63">
        <f>'Local multi year dist'!AG98</f>
        <v>68182.726866240366</v>
      </c>
      <c r="P98" s="63">
        <f>'Local multi year dist'!AH98</f>
        <v>68182.726866240366</v>
      </c>
      <c r="Q98" s="63">
        <f>'Local multi year dist'!AI98</f>
        <v>56649.951596442203</v>
      </c>
      <c r="R98" s="63">
        <f>'Local multi year dist'!AJ98</f>
        <v>56649.951596442203</v>
      </c>
      <c r="S98" s="63">
        <f>'Local multi year dist'!AK98</f>
        <v>39661.602553860866</v>
      </c>
      <c r="T98" s="63"/>
      <c r="U98" s="63">
        <f>'Local multi year dist'!AM98</f>
        <v>0</v>
      </c>
      <c r="V98" s="63">
        <f>'Local multi year dist'!AN98</f>
        <v>69861.623727301238</v>
      </c>
      <c r="W98" s="63">
        <f>'Local multi year dist'!AO98</f>
        <v>80868.423576468776</v>
      </c>
      <c r="X98" s="63">
        <f>'Local multi year dist'!AP98</f>
        <v>31491.31108321387</v>
      </c>
      <c r="Y98" s="63">
        <f>'Local multi year dist'!AQ98</f>
        <v>34550.939221854176</v>
      </c>
      <c r="Z98" s="63">
        <f>'Local multi year dist'!AR98</f>
        <v>36808.917494895897</v>
      </c>
      <c r="AA98" s="63">
        <f>'Local multi year dist'!AS98</f>
        <v>27703.692891533283</v>
      </c>
      <c r="AB98" s="63">
        <f>'Local multi year dist'!AT98</f>
        <v>39399.574229155907</v>
      </c>
      <c r="AC98" s="63">
        <f>'Local multi year dist'!AU98</f>
        <v>39636.042971241994</v>
      </c>
      <c r="AD98" s="63">
        <f>'Local multi year dist'!AV98</f>
        <v>36862.282938999881</v>
      </c>
      <c r="AE98" s="63">
        <f>'Local multi year dist'!AW98</f>
        <v>34098.606115491559</v>
      </c>
      <c r="AF98" s="63">
        <f>'Local multi year dist'!AX98</f>
        <v>31223.804831504607</v>
      </c>
      <c r="AG98" s="63">
        <f>'Local multi year dist'!AY98</f>
        <v>24377.427052726816</v>
      </c>
      <c r="AH98" s="63">
        <f>'Local multi year dist'!AZ98</f>
        <v>24377.427052726816</v>
      </c>
      <c r="AI98" s="63">
        <f>'Local multi year dist'!BA98</f>
        <v>24377.427052726816</v>
      </c>
      <c r="AJ98" s="63">
        <f>'Local multi year dist'!BB98</f>
        <v>20148.742787134161</v>
      </c>
      <c r="AK98" s="63">
        <f>'Local multi year dist'!BC98</f>
        <v>20148.742787134161</v>
      </c>
      <c r="AL98" s="63">
        <f>'Local multi year dist'!BD98</f>
        <v>14542.587603082318</v>
      </c>
      <c r="AN98" s="63">
        <f>'Local multi year dist'!BF98</f>
        <v>0</v>
      </c>
      <c r="AO98" s="63">
        <f>'Local multi year dist'!BG98</f>
        <v>17465.405931825309</v>
      </c>
      <c r="AP98" s="63">
        <f>'Local multi year dist'!BH98</f>
        <v>20217.105894117194</v>
      </c>
      <c r="AQ98" s="63">
        <f>'Local multi year dist'!BI98</f>
        <v>7872.8277708034675</v>
      </c>
      <c r="AR98" s="63">
        <f>'Local multi year dist'!BJ98</f>
        <v>8637.734805463544</v>
      </c>
      <c r="AS98" s="63">
        <f>'Local multi year dist'!BK98</f>
        <v>9202.2293737239743</v>
      </c>
      <c r="AT98" s="63">
        <f>'Local multi year dist'!BL98</f>
        <v>6925.9232228833207</v>
      </c>
      <c r="AU98" s="63">
        <f>'Local multi year dist'!BM98</f>
        <v>9849.8935572889768</v>
      </c>
      <c r="AV98" s="63">
        <f>'Local multi year dist'!BN98</f>
        <v>9909.0107428104984</v>
      </c>
      <c r="AW98" s="63">
        <f>'Local multi year dist'!BO98</f>
        <v>9215.5707347499701</v>
      </c>
      <c r="AX98" s="63">
        <f>'Local multi year dist'!BP98</f>
        <v>8524.6515288728897</v>
      </c>
      <c r="AY98" s="63">
        <f>'Local multi year dist'!BQ98</f>
        <v>7805.9512078761518</v>
      </c>
      <c r="AZ98" s="63">
        <f>'Local multi year dist'!BR98</f>
        <v>6094.3567631817041</v>
      </c>
      <c r="BA98" s="63">
        <f>'Local multi year dist'!BS98</f>
        <v>6094.3567631817041</v>
      </c>
      <c r="BB98" s="63">
        <f>'Local multi year dist'!BT98</f>
        <v>6094.3567631817041</v>
      </c>
      <c r="BC98" s="63">
        <f>'Local multi year dist'!BU98</f>
        <v>5037.1856967835402</v>
      </c>
      <c r="BD98" s="63">
        <f>'Local multi year dist'!BV98</f>
        <v>5037.1856967835402</v>
      </c>
      <c r="BE98" s="63">
        <f>'Local multi year dist'!BW98</f>
        <v>3635.6469007705796</v>
      </c>
      <c r="BF98" s="63"/>
      <c r="BG98" s="63"/>
      <c r="BH98" s="63"/>
      <c r="BI98" s="63"/>
      <c r="BJ98" s="63"/>
      <c r="BK98" s="63"/>
      <c r="BL98" s="63"/>
      <c r="BM98" s="63"/>
      <c r="BN98" s="63"/>
      <c r="BO98" s="63"/>
      <c r="BP98" s="63"/>
      <c r="BQ98" s="63"/>
    </row>
    <row r="99" spans="1:69" x14ac:dyDescent="0.25">
      <c r="A99" t="str">
        <f>'Local multi year dist'!S99</f>
        <v>Poquoson City</v>
      </c>
      <c r="B99" s="63">
        <f>'Local multi year dist'!T99</f>
        <v>7563.4107173784696</v>
      </c>
      <c r="C99" s="63">
        <f>'Local multi year dist'!U99</f>
        <v>47880.513333213879</v>
      </c>
      <c r="D99" s="63">
        <f>'Local multi year dist'!V99</f>
        <v>59048.924597646226</v>
      </c>
      <c r="E99" s="63">
        <f>'Local multi year dist'!W99</f>
        <v>22645.131860622812</v>
      </c>
      <c r="F99" s="63">
        <f>'Local multi year dist'!X99</f>
        <v>24333.657594282908</v>
      </c>
      <c r="G99" s="63">
        <f>'Local multi year dist'!Y99</f>
        <v>25860.871989867486</v>
      </c>
      <c r="H99" s="63">
        <f>'Local multi year dist'!Z99</f>
        <v>19702.429167229511</v>
      </c>
      <c r="I99" s="63">
        <f>'Local multi year dist'!AA99</f>
        <v>27613.097999221529</v>
      </c>
      <c r="J99" s="63">
        <f>'Local multi year dist'!AB99</f>
        <v>27738.735814182051</v>
      </c>
      <c r="K99" s="63">
        <f>'Local multi year dist'!AC99</f>
        <v>25971.581959603969</v>
      </c>
      <c r="L99" s="63">
        <f>'Local multi year dist'!AD99</f>
        <v>24101.787079510963</v>
      </c>
      <c r="M99" s="63">
        <f>'Local multi year dist'!AE99</f>
        <v>22157.376029250703</v>
      </c>
      <c r="N99" s="63">
        <f>'Local multi year dist'!AF99</f>
        <v>16909.316262827586</v>
      </c>
      <c r="O99" s="63">
        <f>'Local multi year dist'!AG99</f>
        <v>16909.316262827586</v>
      </c>
      <c r="P99" s="63">
        <f>'Local multi year dist'!AH99</f>
        <v>16909.316262827586</v>
      </c>
      <c r="Q99" s="63">
        <f>'Local multi year dist'!AI99</f>
        <v>14049.187995917649</v>
      </c>
      <c r="R99" s="63">
        <f>'Local multi year dist'!AJ99</f>
        <v>14049.187995917649</v>
      </c>
      <c r="S99" s="63">
        <f>'Local multi year dist'!AK99</f>
        <v>9836.0774333574827</v>
      </c>
      <c r="T99" s="63"/>
      <c r="U99" s="63">
        <f>'Local multi year dist'!AM99</f>
        <v>0</v>
      </c>
      <c r="V99" s="63">
        <f>'Local multi year dist'!AN99</f>
        <v>17325.682684370684</v>
      </c>
      <c r="W99" s="63">
        <f>'Local multi year dist'!AO99</f>
        <v>20055.369046964232</v>
      </c>
      <c r="X99" s="63">
        <f>'Local multi year dist'!AP99</f>
        <v>7809.8451486370295</v>
      </c>
      <c r="Y99" s="63">
        <f>'Local multi year dist'!AQ99</f>
        <v>8568.6329270198239</v>
      </c>
      <c r="Z99" s="63">
        <f>'Local multi year dist'!AR99</f>
        <v>9128.6115387341706</v>
      </c>
      <c r="AA99" s="63">
        <f>'Local multi year dist'!AS99</f>
        <v>6870.5158371002453</v>
      </c>
      <c r="AB99" s="63">
        <f>'Local multi year dist'!AT99</f>
        <v>9771.0944088306514</v>
      </c>
      <c r="AC99" s="63">
        <f>'Local multi year dist'!AU99</f>
        <v>9829.7386568680013</v>
      </c>
      <c r="AD99" s="63">
        <f>'Local multi year dist'!AV99</f>
        <v>9141.8461688719599</v>
      </c>
      <c r="AE99" s="63">
        <f>'Local multi year dist'!AW99</f>
        <v>8456.4543166418953</v>
      </c>
      <c r="AF99" s="63">
        <f>'Local multi year dist'!AX99</f>
        <v>7743.503598213133</v>
      </c>
      <c r="AG99" s="63">
        <f>'Local multi year dist'!AY99</f>
        <v>6045.6019090762429</v>
      </c>
      <c r="AH99" s="63">
        <f>'Local multi year dist'!AZ99</f>
        <v>6045.6019090762429</v>
      </c>
      <c r="AI99" s="63">
        <f>'Local multi year dist'!BA99</f>
        <v>6045.6019090762429</v>
      </c>
      <c r="AJ99" s="63">
        <f>'Local multi year dist'!BB99</f>
        <v>4996.888211209266</v>
      </c>
      <c r="AK99" s="63">
        <f>'Local multi year dist'!BC99</f>
        <v>4996.888211209266</v>
      </c>
      <c r="AL99" s="63">
        <f>'Local multi year dist'!BD99</f>
        <v>3606.5617255644102</v>
      </c>
      <c r="AN99" s="63">
        <f>'Local multi year dist'!BF99</f>
        <v>0</v>
      </c>
      <c r="AO99" s="63">
        <f>'Local multi year dist'!BG99</f>
        <v>4331.420671092671</v>
      </c>
      <c r="AP99" s="63">
        <f>'Local multi year dist'!BH99</f>
        <v>5013.8422617410579</v>
      </c>
      <c r="AQ99" s="63">
        <f>'Local multi year dist'!BI99</f>
        <v>1952.4612871592574</v>
      </c>
      <c r="AR99" s="63">
        <f>'Local multi year dist'!BJ99</f>
        <v>2142.158231754956</v>
      </c>
      <c r="AS99" s="63">
        <f>'Local multi year dist'!BK99</f>
        <v>2282.1528846835427</v>
      </c>
      <c r="AT99" s="63">
        <f>'Local multi year dist'!BL99</f>
        <v>1717.6289592750613</v>
      </c>
      <c r="AU99" s="63">
        <f>'Local multi year dist'!BM99</f>
        <v>2442.7736022076629</v>
      </c>
      <c r="AV99" s="63">
        <f>'Local multi year dist'!BN99</f>
        <v>2457.4346642170003</v>
      </c>
      <c r="AW99" s="63">
        <f>'Local multi year dist'!BO99</f>
        <v>2285.46154221799</v>
      </c>
      <c r="AX99" s="63">
        <f>'Local multi year dist'!BP99</f>
        <v>2114.1135791604738</v>
      </c>
      <c r="AY99" s="63">
        <f>'Local multi year dist'!BQ99</f>
        <v>1935.8758995532833</v>
      </c>
      <c r="AZ99" s="63">
        <f>'Local multi year dist'!BR99</f>
        <v>1511.4004772690607</v>
      </c>
      <c r="BA99" s="63">
        <f>'Local multi year dist'!BS99</f>
        <v>1511.4004772690607</v>
      </c>
      <c r="BB99" s="63">
        <f>'Local multi year dist'!BT99</f>
        <v>1511.4004772690607</v>
      </c>
      <c r="BC99" s="63">
        <f>'Local multi year dist'!BU99</f>
        <v>1249.2220528023165</v>
      </c>
      <c r="BD99" s="63">
        <f>'Local multi year dist'!BV99</f>
        <v>1249.2220528023165</v>
      </c>
      <c r="BE99" s="63">
        <f>'Local multi year dist'!BW99</f>
        <v>901.64043139110254</v>
      </c>
      <c r="BF99" s="63"/>
      <c r="BG99" s="63"/>
      <c r="BH99" s="63"/>
      <c r="BI99" s="63"/>
      <c r="BJ99" s="63"/>
      <c r="BK99" s="63"/>
      <c r="BL99" s="63"/>
      <c r="BM99" s="63"/>
      <c r="BN99" s="63"/>
      <c r="BO99" s="63"/>
      <c r="BP99" s="63"/>
      <c r="BQ99" s="63"/>
    </row>
    <row r="100" spans="1:69" x14ac:dyDescent="0.25">
      <c r="A100" t="str">
        <f>'Local multi year dist'!S100</f>
        <v>Portsmouth City</v>
      </c>
      <c r="B100" s="63">
        <f>'Local multi year dist'!T100</f>
        <v>78765.19655678545</v>
      </c>
      <c r="C100" s="63">
        <f>'Local multi year dist'!U100</f>
        <v>498626.63616363046</v>
      </c>
      <c r="D100" s="63">
        <f>'Local multi year dist'!V100</f>
        <v>614934.23089054157</v>
      </c>
      <c r="E100" s="63">
        <f>'Local multi year dist'!W100</f>
        <v>235825.91620444291</v>
      </c>
      <c r="F100" s="63">
        <f>'Local multi year dist'!X100</f>
        <v>253410.18688239777</v>
      </c>
      <c r="G100" s="63">
        <f>'Local multi year dist'!Y100</f>
        <v>269314.56475469528</v>
      </c>
      <c r="H100" s="63">
        <f>'Local multi year dist'!Z100</f>
        <v>205180.673639374</v>
      </c>
      <c r="I100" s="63">
        <f>'Local multi year dist'!AA100</f>
        <v>287562.20873382845</v>
      </c>
      <c r="J100" s="63">
        <f>'Local multi year dist'!AB100</f>
        <v>288870.59823693888</v>
      </c>
      <c r="K100" s="63">
        <f>'Local multi year dist'!AC100</f>
        <v>270467.49599867139</v>
      </c>
      <c r="L100" s="63">
        <f>'Local multi year dist'!AD100</f>
        <v>250995.49232802543</v>
      </c>
      <c r="M100" s="63">
        <f>'Local multi year dist'!AE100</f>
        <v>230746.43746590649</v>
      </c>
      <c r="N100" s="63">
        <f>'Local multi year dist'!AF100</f>
        <v>176093.25591987654</v>
      </c>
      <c r="O100" s="63">
        <f>'Local multi year dist'!AG100</f>
        <v>176093.25591987654</v>
      </c>
      <c r="P100" s="63">
        <f>'Local multi year dist'!AH100</f>
        <v>176093.25591987654</v>
      </c>
      <c r="Q100" s="63">
        <f>'Local multi year dist'!AI100</f>
        <v>146307.94165641119</v>
      </c>
      <c r="R100" s="63">
        <f>'Local multi year dist'!AJ100</f>
        <v>146307.94165641119</v>
      </c>
      <c r="S100" s="63">
        <f>'Local multi year dist'!AK100</f>
        <v>102432.69886243787</v>
      </c>
      <c r="T100" s="63"/>
      <c r="U100" s="63">
        <f>'Local multi year dist'!AM100</f>
        <v>0</v>
      </c>
      <c r="V100" s="63">
        <f>'Local multi year dist'!AN100</f>
        <v>180429.28687970975</v>
      </c>
      <c r="W100" s="63">
        <f>'Local multi year dist'!AO100</f>
        <v>208856.18195682642</v>
      </c>
      <c r="X100" s="63">
        <f>'Local multi year dist'!AP100</f>
        <v>81331.559424246909</v>
      </c>
      <c r="Y100" s="63">
        <f>'Local multi year dist'!AQ100</f>
        <v>89233.559030308592</v>
      </c>
      <c r="Z100" s="63">
        <f>'Local multi year dist'!AR100</f>
        <v>95065.164250151007</v>
      </c>
      <c r="AA100" s="63">
        <f>'Local multi year dist'!AS100</f>
        <v>71549.404174533192</v>
      </c>
      <c r="AB100" s="63">
        <f>'Local multi year dist'!AT100</f>
        <v>101755.96704249985</v>
      </c>
      <c r="AC100" s="63">
        <f>'Local multi year dist'!AU100</f>
        <v>102366.68698039418</v>
      </c>
      <c r="AD100" s="63">
        <f>'Local multi year dist'!AV100</f>
        <v>95202.989403790241</v>
      </c>
      <c r="AE100" s="63">
        <f>'Local multi year dist'!AW100</f>
        <v>88065.33339427608</v>
      </c>
      <c r="AF100" s="63">
        <f>'Local multi year dist'!AX100</f>
        <v>80640.67994483246</v>
      </c>
      <c r="AG100" s="63">
        <f>'Local multi year dist'!AY100</f>
        <v>62958.768268175707</v>
      </c>
      <c r="AH100" s="63">
        <f>'Local multi year dist'!AZ100</f>
        <v>62958.768268175707</v>
      </c>
      <c r="AI100" s="63">
        <f>'Local multi year dist'!BA100</f>
        <v>62958.768268175707</v>
      </c>
      <c r="AJ100" s="63">
        <f>'Local multi year dist'!BB100</f>
        <v>52037.486371571758</v>
      </c>
      <c r="AK100" s="63">
        <f>'Local multi year dist'!BC100</f>
        <v>52037.486371571758</v>
      </c>
      <c r="AL100" s="63">
        <f>'Local multi year dist'!BD100</f>
        <v>37558.656249560547</v>
      </c>
      <c r="AN100" s="63">
        <f>'Local multi year dist'!BF100</f>
        <v>0</v>
      </c>
      <c r="AO100" s="63">
        <f>'Local multi year dist'!BG100</f>
        <v>45107.321719927437</v>
      </c>
      <c r="AP100" s="63">
        <f>'Local multi year dist'!BH100</f>
        <v>52214.045489206605</v>
      </c>
      <c r="AQ100" s="63">
        <f>'Local multi year dist'!BI100</f>
        <v>20332.889856061727</v>
      </c>
      <c r="AR100" s="63">
        <f>'Local multi year dist'!BJ100</f>
        <v>22308.389757577148</v>
      </c>
      <c r="AS100" s="63">
        <f>'Local multi year dist'!BK100</f>
        <v>23766.291062537752</v>
      </c>
      <c r="AT100" s="63">
        <f>'Local multi year dist'!BL100</f>
        <v>17887.351043633298</v>
      </c>
      <c r="AU100" s="63">
        <f>'Local multi year dist'!BM100</f>
        <v>25438.991760624962</v>
      </c>
      <c r="AV100" s="63">
        <f>'Local multi year dist'!BN100</f>
        <v>25591.671745098545</v>
      </c>
      <c r="AW100" s="63">
        <f>'Local multi year dist'!BO100</f>
        <v>23800.74735094756</v>
      </c>
      <c r="AX100" s="63">
        <f>'Local multi year dist'!BP100</f>
        <v>22016.33334856902</v>
      </c>
      <c r="AY100" s="63">
        <f>'Local multi year dist'!BQ100</f>
        <v>20160.169986208115</v>
      </c>
      <c r="AZ100" s="63">
        <f>'Local multi year dist'!BR100</f>
        <v>15739.692067043927</v>
      </c>
      <c r="BA100" s="63">
        <f>'Local multi year dist'!BS100</f>
        <v>15739.692067043927</v>
      </c>
      <c r="BB100" s="63">
        <f>'Local multi year dist'!BT100</f>
        <v>15739.692067043927</v>
      </c>
      <c r="BC100" s="63">
        <f>'Local multi year dist'!BU100</f>
        <v>13009.37159289294</v>
      </c>
      <c r="BD100" s="63">
        <f>'Local multi year dist'!BV100</f>
        <v>13009.37159289294</v>
      </c>
      <c r="BE100" s="63">
        <f>'Local multi year dist'!BW100</f>
        <v>9389.6640623901367</v>
      </c>
      <c r="BF100" s="63"/>
      <c r="BG100" s="63"/>
      <c r="BH100" s="63"/>
      <c r="BI100" s="63"/>
      <c r="BJ100" s="63"/>
      <c r="BK100" s="63"/>
      <c r="BL100" s="63"/>
      <c r="BM100" s="63"/>
      <c r="BN100" s="63"/>
      <c r="BO100" s="63"/>
      <c r="BP100" s="63"/>
      <c r="BQ100" s="63"/>
    </row>
    <row r="101" spans="1:69" x14ac:dyDescent="0.25">
      <c r="A101" t="str">
        <f>'Local multi year dist'!S101</f>
        <v>Powhatan County</v>
      </c>
      <c r="B101" s="63">
        <f>'Local multi year dist'!T101</f>
        <v>10653.836601898704</v>
      </c>
      <c r="C101" s="63">
        <f>'Local multi year dist'!U101</f>
        <v>67444.594050010943</v>
      </c>
      <c r="D101" s="63">
        <f>'Local multi year dist'!V101</f>
        <v>83176.44217517908</v>
      </c>
      <c r="E101" s="63">
        <f>'Local multi year dist'!W101</f>
        <v>31897.981438081591</v>
      </c>
      <c r="F101" s="63">
        <f>'Local multi year dist'!X101</f>
        <v>34276.442417753336</v>
      </c>
      <c r="G101" s="63">
        <f>'Local multi year dist'!Y101</f>
        <v>36427.679899705814</v>
      </c>
      <c r="H101" s="63">
        <f>'Local multi year dist'!Z101</f>
        <v>27752.884095774902</v>
      </c>
      <c r="I101" s="63">
        <f>'Local multi year dist'!AA101</f>
        <v>38895.869224709888</v>
      </c>
      <c r="J101" s="63">
        <f>'Local multi year dist'!AB101</f>
        <v>39072.842921052135</v>
      </c>
      <c r="K101" s="63">
        <f>'Local multi year dist'!AC101</f>
        <v>36583.626201162573</v>
      </c>
      <c r="L101" s="63">
        <f>'Local multi year dist'!AD101</f>
        <v>33949.829111999308</v>
      </c>
      <c r="M101" s="63">
        <f>'Local multi year dist'!AE101</f>
        <v>31210.92752507357</v>
      </c>
      <c r="N101" s="63">
        <f>'Local multi year dist'!AF101</f>
        <v>23818.499251939935</v>
      </c>
      <c r="O101" s="63">
        <f>'Local multi year dist'!AG101</f>
        <v>23818.499251939935</v>
      </c>
      <c r="P101" s="63">
        <f>'Local multi year dist'!AH101</f>
        <v>23818.499251939935</v>
      </c>
      <c r="Q101" s="63">
        <f>'Local multi year dist'!AI101</f>
        <v>19789.716424357117</v>
      </c>
      <c r="R101" s="63">
        <f>'Local multi year dist'!AJ101</f>
        <v>19789.716424357117</v>
      </c>
      <c r="S101" s="63">
        <f>'Local multi year dist'!AK101</f>
        <v>13855.119825482045</v>
      </c>
      <c r="T101" s="63"/>
      <c r="U101" s="63">
        <f>'Local multi year dist'!AM101</f>
        <v>0</v>
      </c>
      <c r="V101" s="63">
        <f>'Local multi year dist'!AN101</f>
        <v>24404.993888737201</v>
      </c>
      <c r="W101" s="63">
        <f>'Local multi year dist'!AO101</f>
        <v>28250.035969379722</v>
      </c>
      <c r="X101" s="63">
        <f>'Local multi year dist'!AP101</f>
        <v>11000.96467173603</v>
      </c>
      <c r="Y101" s="63">
        <f>'Local multi year dist'!AQ101</f>
        <v>12069.794768167709</v>
      </c>
      <c r="Z101" s="63">
        <f>'Local multi year dist'!AR101</f>
        <v>12858.581844883616</v>
      </c>
      <c r="AA101" s="63">
        <f>'Local multi year dist'!AS101</f>
        <v>9677.8233834422808</v>
      </c>
      <c r="AB101" s="63">
        <f>'Local multi year dist'!AT101</f>
        <v>13763.58459738511</v>
      </c>
      <c r="AC101" s="63">
        <f>'Local multi year dist'!AU101</f>
        <v>13846.191011287185</v>
      </c>
      <c r="AD101" s="63">
        <f>'Local multi year dist'!AV101</f>
        <v>12877.224173357276</v>
      </c>
      <c r="AE101" s="63">
        <f>'Local multi year dist'!AW101</f>
        <v>11911.779736345034</v>
      </c>
      <c r="AF101" s="63">
        <f>'Local multi year dist'!AX101</f>
        <v>10907.515821138928</v>
      </c>
      <c r="AG101" s="63">
        <f>'Local multi year dist'!AY101</f>
        <v>8515.8478504192226</v>
      </c>
      <c r="AH101" s="63">
        <f>'Local multi year dist'!AZ101</f>
        <v>8515.8478504192226</v>
      </c>
      <c r="AI101" s="63">
        <f>'Local multi year dist'!BA101</f>
        <v>8515.8478504192226</v>
      </c>
      <c r="AJ101" s="63">
        <f>'Local multi year dist'!BB101</f>
        <v>7038.6274803055239</v>
      </c>
      <c r="AK101" s="63">
        <f>'Local multi year dist'!BC101</f>
        <v>7038.6274803055239</v>
      </c>
      <c r="AL101" s="63">
        <f>'Local multi year dist'!BD101</f>
        <v>5080.2106026767497</v>
      </c>
      <c r="AN101" s="63">
        <f>'Local multi year dist'!BF101</f>
        <v>0</v>
      </c>
      <c r="AO101" s="63">
        <f>'Local multi year dist'!BG101</f>
        <v>6101.2484721843002</v>
      </c>
      <c r="AP101" s="63">
        <f>'Local multi year dist'!BH101</f>
        <v>7062.5089923449304</v>
      </c>
      <c r="AQ101" s="63">
        <f>'Local multi year dist'!BI101</f>
        <v>2750.2411679340075</v>
      </c>
      <c r="AR101" s="63">
        <f>'Local multi year dist'!BJ101</f>
        <v>3017.4486920419272</v>
      </c>
      <c r="AS101" s="63">
        <f>'Local multi year dist'!BK101</f>
        <v>3214.6454612209041</v>
      </c>
      <c r="AT101" s="63">
        <f>'Local multi year dist'!BL101</f>
        <v>2419.4558458605702</v>
      </c>
      <c r="AU101" s="63">
        <f>'Local multi year dist'!BM101</f>
        <v>3440.8961493462775</v>
      </c>
      <c r="AV101" s="63">
        <f>'Local multi year dist'!BN101</f>
        <v>3461.5477528217962</v>
      </c>
      <c r="AW101" s="63">
        <f>'Local multi year dist'!BO101</f>
        <v>3219.3060433393189</v>
      </c>
      <c r="AX101" s="63">
        <f>'Local multi year dist'!BP101</f>
        <v>2977.9449340862584</v>
      </c>
      <c r="AY101" s="63">
        <f>'Local multi year dist'!BQ101</f>
        <v>2726.878955284732</v>
      </c>
      <c r="AZ101" s="63">
        <f>'Local multi year dist'!BR101</f>
        <v>2128.9619626048056</v>
      </c>
      <c r="BA101" s="63">
        <f>'Local multi year dist'!BS101</f>
        <v>2128.9619626048056</v>
      </c>
      <c r="BB101" s="63">
        <f>'Local multi year dist'!BT101</f>
        <v>2128.9619626048056</v>
      </c>
      <c r="BC101" s="63">
        <f>'Local multi year dist'!BU101</f>
        <v>1759.656870076381</v>
      </c>
      <c r="BD101" s="63">
        <f>'Local multi year dist'!BV101</f>
        <v>1759.656870076381</v>
      </c>
      <c r="BE101" s="63">
        <f>'Local multi year dist'!BW101</f>
        <v>1270.0526506691874</v>
      </c>
      <c r="BF101" s="63"/>
      <c r="BG101" s="63"/>
      <c r="BH101" s="63"/>
      <c r="BI101" s="63"/>
      <c r="BJ101" s="63"/>
      <c r="BK101" s="63"/>
      <c r="BL101" s="63"/>
      <c r="BM101" s="63"/>
      <c r="BN101" s="63"/>
      <c r="BO101" s="63"/>
      <c r="BP101" s="63"/>
      <c r="BQ101" s="63"/>
    </row>
    <row r="102" spans="1:69" x14ac:dyDescent="0.25">
      <c r="A102" t="str">
        <f>'Local multi year dist'!S102</f>
        <v>Prince Edward County</v>
      </c>
      <c r="B102" s="63">
        <f>'Local multi year dist'!T102</f>
        <v>7726.0647113005871</v>
      </c>
      <c r="C102" s="63">
        <f>'Local multi year dist'!U102</f>
        <v>48910.201791992666</v>
      </c>
      <c r="D102" s="63">
        <f>'Local multi year dist'!V102</f>
        <v>60318.793943832163</v>
      </c>
      <c r="E102" s="63">
        <f>'Local multi year dist'!W102</f>
        <v>23132.123943646955</v>
      </c>
      <c r="F102" s="63">
        <f>'Local multi year dist'!X102</f>
        <v>24856.962058676087</v>
      </c>
      <c r="G102" s="63">
        <f>'Local multi year dist'!Y102</f>
        <v>26417.019774595818</v>
      </c>
      <c r="H102" s="63">
        <f>'Local multi year dist'!Z102</f>
        <v>20126.13732136348</v>
      </c>
      <c r="I102" s="63">
        <f>'Local multi year dist'!AA102</f>
        <v>28206.928063720912</v>
      </c>
      <c r="J102" s="63">
        <f>'Local multi year dist'!AB102</f>
        <v>28335.26776717521</v>
      </c>
      <c r="K102" s="63">
        <f>'Local multi year dist'!AC102</f>
        <v>26530.110603896526</v>
      </c>
      <c r="L102" s="63">
        <f>'Local multi year dist'!AD102</f>
        <v>24620.105081220874</v>
      </c>
      <c r="M102" s="63">
        <f>'Local multi year dist'!AE102</f>
        <v>22633.878739557167</v>
      </c>
      <c r="N102" s="63">
        <f>'Local multi year dist'!AF102</f>
        <v>17272.957472780869</v>
      </c>
      <c r="O102" s="63">
        <f>'Local multi year dist'!AG102</f>
        <v>17272.957472780869</v>
      </c>
      <c r="P102" s="63">
        <f>'Local multi year dist'!AH102</f>
        <v>17272.957472780869</v>
      </c>
      <c r="Q102" s="63">
        <f>'Local multi year dist'!AI102</f>
        <v>14351.321071098673</v>
      </c>
      <c r="R102" s="63">
        <f>'Local multi year dist'!AJ102</f>
        <v>14351.321071098673</v>
      </c>
      <c r="S102" s="63">
        <f>'Local multi year dist'!AK102</f>
        <v>10047.605980311408</v>
      </c>
      <c r="T102" s="63"/>
      <c r="U102" s="63">
        <f>'Local multi year dist'!AM102</f>
        <v>0</v>
      </c>
      <c r="V102" s="63">
        <f>'Local multi year dist'!AN102</f>
        <v>17698.278010916289</v>
      </c>
      <c r="W102" s="63">
        <f>'Local multi year dist'!AO102</f>
        <v>20486.667306038729</v>
      </c>
      <c r="X102" s="63">
        <f>'Local multi year dist'!AP102</f>
        <v>7977.7988077475029</v>
      </c>
      <c r="Y102" s="63">
        <f>'Local multi year dist'!AQ102</f>
        <v>8752.9046028697121</v>
      </c>
      <c r="Z102" s="63">
        <f>'Local multi year dist'!AR102</f>
        <v>9324.9257653736149</v>
      </c>
      <c r="AA102" s="63">
        <f>'Local multi year dist'!AS102</f>
        <v>7018.2688658550887</v>
      </c>
      <c r="AB102" s="63">
        <f>'Local multi year dist'!AT102</f>
        <v>9981.2254713861494</v>
      </c>
      <c r="AC102" s="63">
        <f>'Local multi year dist'!AU102</f>
        <v>10041.130886047958</v>
      </c>
      <c r="AD102" s="63">
        <f>'Local multi year dist'!AV102</f>
        <v>9338.4450112132909</v>
      </c>
      <c r="AE102" s="63">
        <f>'Local multi year dist'!AW102</f>
        <v>8638.3135492578494</v>
      </c>
      <c r="AF102" s="63">
        <f>'Local multi year dist'!AX102</f>
        <v>7910.0305573144897</v>
      </c>
      <c r="AG102" s="63">
        <f>'Local multi year dist'!AY102</f>
        <v>6175.6148533574524</v>
      </c>
      <c r="AH102" s="63">
        <f>'Local multi year dist'!AZ102</f>
        <v>6175.6148533574524</v>
      </c>
      <c r="AI102" s="63">
        <f>'Local multi year dist'!BA102</f>
        <v>6175.6148533574524</v>
      </c>
      <c r="AJ102" s="63">
        <f>'Local multi year dist'!BB102</f>
        <v>5104.348172740647</v>
      </c>
      <c r="AK102" s="63">
        <f>'Local multi year dist'!BC102</f>
        <v>5104.348172740647</v>
      </c>
      <c r="AL102" s="63">
        <f>'Local multi year dist'!BD102</f>
        <v>3684.1221927808488</v>
      </c>
      <c r="AN102" s="63">
        <f>'Local multi year dist'!BF102</f>
        <v>0</v>
      </c>
      <c r="AO102" s="63">
        <f>'Local multi year dist'!BG102</f>
        <v>4424.5695027290722</v>
      </c>
      <c r="AP102" s="63">
        <f>'Local multi year dist'!BH102</f>
        <v>5121.6668265096823</v>
      </c>
      <c r="AQ102" s="63">
        <f>'Local multi year dist'!BI102</f>
        <v>1994.4497019368757</v>
      </c>
      <c r="AR102" s="63">
        <f>'Local multi year dist'!BJ102</f>
        <v>2188.226150717428</v>
      </c>
      <c r="AS102" s="63">
        <f>'Local multi year dist'!BK102</f>
        <v>2331.2314413434037</v>
      </c>
      <c r="AT102" s="63">
        <f>'Local multi year dist'!BL102</f>
        <v>1754.5672164637722</v>
      </c>
      <c r="AU102" s="63">
        <f>'Local multi year dist'!BM102</f>
        <v>2495.3063678465373</v>
      </c>
      <c r="AV102" s="63">
        <f>'Local multi year dist'!BN102</f>
        <v>2510.2827215119896</v>
      </c>
      <c r="AW102" s="63">
        <f>'Local multi year dist'!BO102</f>
        <v>2334.6112528033227</v>
      </c>
      <c r="AX102" s="63">
        <f>'Local multi year dist'!BP102</f>
        <v>2159.5783873144624</v>
      </c>
      <c r="AY102" s="63">
        <f>'Local multi year dist'!BQ102</f>
        <v>1977.5076393286224</v>
      </c>
      <c r="AZ102" s="63">
        <f>'Local multi year dist'!BR102</f>
        <v>1543.9037133393631</v>
      </c>
      <c r="BA102" s="63">
        <f>'Local multi year dist'!BS102</f>
        <v>1543.9037133393631</v>
      </c>
      <c r="BB102" s="63">
        <f>'Local multi year dist'!BT102</f>
        <v>1543.9037133393631</v>
      </c>
      <c r="BC102" s="63">
        <f>'Local multi year dist'!BU102</f>
        <v>1276.0870431851617</v>
      </c>
      <c r="BD102" s="63">
        <f>'Local multi year dist'!BV102</f>
        <v>1276.0870431851617</v>
      </c>
      <c r="BE102" s="63">
        <f>'Local multi year dist'!BW102</f>
        <v>921.03054819521219</v>
      </c>
      <c r="BF102" s="63"/>
      <c r="BG102" s="63"/>
      <c r="BH102" s="63"/>
      <c r="BI102" s="63"/>
      <c r="BJ102" s="63"/>
      <c r="BK102" s="63"/>
      <c r="BL102" s="63"/>
      <c r="BM102" s="63"/>
      <c r="BN102" s="63"/>
      <c r="BO102" s="63"/>
      <c r="BP102" s="63"/>
      <c r="BQ102" s="63"/>
    </row>
    <row r="103" spans="1:69" x14ac:dyDescent="0.25">
      <c r="A103" t="str">
        <f>'Local multi year dist'!S103</f>
        <v>Prince George County</v>
      </c>
      <c r="B103" s="63">
        <f>'Local multi year dist'!T103</f>
        <v>14272.887966665821</v>
      </c>
      <c r="C103" s="63">
        <f>'Local multi year dist'!U103</f>
        <v>90355.162257839082</v>
      </c>
      <c r="D103" s="63">
        <f>'Local multi year dist'!V103</f>
        <v>111431.03512781626</v>
      </c>
      <c r="E103" s="63">
        <f>'Local multi year dist'!W103</f>
        <v>42733.55528536885</v>
      </c>
      <c r="F103" s="63">
        <f>'Local multi year dist'!X103</f>
        <v>45919.966750501611</v>
      </c>
      <c r="G103" s="63">
        <f>'Local multi year dist'!Y103</f>
        <v>48801.968109911228</v>
      </c>
      <c r="H103" s="63">
        <f>'Local multi year dist'!Z103</f>
        <v>37180.390525255694</v>
      </c>
      <c r="I103" s="63">
        <f>'Local multi year dist'!AA103</f>
        <v>52108.588159821265</v>
      </c>
      <c r="J103" s="63">
        <f>'Local multi year dist'!AB103</f>
        <v>52345.678875149999</v>
      </c>
      <c r="K103" s="63">
        <f>'Local multi year dist'!AC103</f>
        <v>49010.888536672006</v>
      </c>
      <c r="L103" s="63">
        <f>'Local multi year dist'!AD103</f>
        <v>45482.404650044882</v>
      </c>
      <c r="M103" s="63">
        <f>'Local multi year dist'!AE103</f>
        <v>41813.112829392456</v>
      </c>
      <c r="N103" s="63">
        <f>'Local multi year dist'!AF103</f>
        <v>31909.516173400447</v>
      </c>
      <c r="O103" s="63">
        <f>'Local multi year dist'!AG103</f>
        <v>31909.516173400447</v>
      </c>
      <c r="P103" s="63">
        <f>'Local multi year dist'!AH103</f>
        <v>31909.516173400447</v>
      </c>
      <c r="Q103" s="63">
        <f>'Local multi year dist'!AI103</f>
        <v>26512.177347134919</v>
      </c>
      <c r="R103" s="63">
        <f>'Local multi year dist'!AJ103</f>
        <v>26512.177347134919</v>
      </c>
      <c r="S103" s="63">
        <f>'Local multi year dist'!AK103</f>
        <v>18561.629995206862</v>
      </c>
      <c r="T103" s="63"/>
      <c r="U103" s="63">
        <f>'Local multi year dist'!AM103</f>
        <v>0</v>
      </c>
      <c r="V103" s="63">
        <f>'Local multi year dist'!AN103</f>
        <v>32695.239904376936</v>
      </c>
      <c r="W103" s="63">
        <f>'Local multi year dist'!AO103</f>
        <v>37846.422233787336</v>
      </c>
      <c r="X103" s="63">
        <f>'Local multi year dist'!AP103</f>
        <v>14737.933586944071</v>
      </c>
      <c r="Y103" s="63">
        <f>'Local multi year dist'!AQ103</f>
        <v>16169.839555827732</v>
      </c>
      <c r="Z103" s="63">
        <f>'Local multi year dist'!AR103</f>
        <v>17226.573387611257</v>
      </c>
      <c r="AA103" s="63">
        <f>'Local multi year dist'!AS103</f>
        <v>12965.328273237559</v>
      </c>
      <c r="AB103" s="63">
        <f>'Local multi year dist'!AT103</f>
        <v>18439.000739244941</v>
      </c>
      <c r="AC103" s="63">
        <f>'Local multi year dist'!AU103</f>
        <v>18549.668110541228</v>
      </c>
      <c r="AD103" s="63">
        <f>'Local multi year dist'!AV103</f>
        <v>17251.548415451922</v>
      </c>
      <c r="AE103" s="63">
        <f>'Local multi year dist'!AW103</f>
        <v>15958.147662050027</v>
      </c>
      <c r="AF103" s="63">
        <f>'Local multi year dist'!AX103</f>
        <v>14612.740661144137</v>
      </c>
      <c r="AG103" s="63">
        <f>'Local multi year dist'!AY103</f>
        <v>11408.635860676135</v>
      </c>
      <c r="AH103" s="63">
        <f>'Local multi year dist'!AZ103</f>
        <v>11408.635860676135</v>
      </c>
      <c r="AI103" s="63">
        <f>'Local multi year dist'!BA103</f>
        <v>11408.635860676135</v>
      </c>
      <c r="AJ103" s="63">
        <f>'Local multi year dist'!BB103</f>
        <v>9429.6116243787746</v>
      </c>
      <c r="AK103" s="63">
        <f>'Local multi year dist'!BC103</f>
        <v>9429.6116243787746</v>
      </c>
      <c r="AL103" s="63">
        <f>'Local multi year dist'!BD103</f>
        <v>6805.9309982425157</v>
      </c>
      <c r="AN103" s="63">
        <f>'Local multi year dist'!BF103</f>
        <v>0</v>
      </c>
      <c r="AO103" s="63">
        <f>'Local multi year dist'!BG103</f>
        <v>8173.8099760942341</v>
      </c>
      <c r="AP103" s="63">
        <f>'Local multi year dist'!BH103</f>
        <v>9461.605558446834</v>
      </c>
      <c r="AQ103" s="63">
        <f>'Local multi year dist'!BI103</f>
        <v>3684.4833967360178</v>
      </c>
      <c r="AR103" s="63">
        <f>'Local multi year dist'!BJ103</f>
        <v>4042.4598889569329</v>
      </c>
      <c r="AS103" s="63">
        <f>'Local multi year dist'!BK103</f>
        <v>4306.6433469028143</v>
      </c>
      <c r="AT103" s="63">
        <f>'Local multi year dist'!BL103</f>
        <v>3241.3320683093898</v>
      </c>
      <c r="AU103" s="63">
        <f>'Local multi year dist'!BM103</f>
        <v>4609.7501848112352</v>
      </c>
      <c r="AV103" s="63">
        <f>'Local multi year dist'!BN103</f>
        <v>4637.417027635307</v>
      </c>
      <c r="AW103" s="63">
        <f>'Local multi year dist'!BO103</f>
        <v>4312.8871038629804</v>
      </c>
      <c r="AX103" s="63">
        <f>'Local multi year dist'!BP103</f>
        <v>3989.5369155125068</v>
      </c>
      <c r="AY103" s="63">
        <f>'Local multi year dist'!BQ103</f>
        <v>3653.1851652860341</v>
      </c>
      <c r="AZ103" s="63">
        <f>'Local multi year dist'!BR103</f>
        <v>2852.1589651690338</v>
      </c>
      <c r="BA103" s="63">
        <f>'Local multi year dist'!BS103</f>
        <v>2852.1589651690338</v>
      </c>
      <c r="BB103" s="63">
        <f>'Local multi year dist'!BT103</f>
        <v>2852.1589651690338</v>
      </c>
      <c r="BC103" s="63">
        <f>'Local multi year dist'!BU103</f>
        <v>2357.4029060946937</v>
      </c>
      <c r="BD103" s="63">
        <f>'Local multi year dist'!BV103</f>
        <v>2357.4029060946937</v>
      </c>
      <c r="BE103" s="63">
        <f>'Local multi year dist'!BW103</f>
        <v>1701.4827495606289</v>
      </c>
      <c r="BF103" s="63"/>
      <c r="BG103" s="63"/>
      <c r="BH103" s="63"/>
      <c r="BI103" s="63"/>
      <c r="BJ103" s="63"/>
      <c r="BK103" s="63"/>
      <c r="BL103" s="63"/>
      <c r="BM103" s="63"/>
      <c r="BN103" s="63"/>
      <c r="BO103" s="63"/>
      <c r="BP103" s="63"/>
      <c r="BQ103" s="63"/>
    </row>
    <row r="104" spans="1:69" x14ac:dyDescent="0.25">
      <c r="A104" t="str">
        <f>'Local multi year dist'!S104</f>
        <v>Prince William County</v>
      </c>
      <c r="B104" s="63">
        <f>'Local multi year dist'!T104</f>
        <v>144599.40059676257</v>
      </c>
      <c r="C104" s="63">
        <f>'Local multi year dist'!U104</f>
        <v>915393.03985434701</v>
      </c>
      <c r="D104" s="63">
        <f>'Local multi year dist'!V104</f>
        <v>1128913.8487593008</v>
      </c>
      <c r="E104" s="63">
        <f>'Local multi year dist'!W104</f>
        <v>432935.96180846618</v>
      </c>
      <c r="F104" s="63">
        <f>'Local multi year dist'!X104</f>
        <v>465217.6688455377</v>
      </c>
      <c r="G104" s="63">
        <f>'Local multi year dist'!Y104</f>
        <v>494415.38062348805</v>
      </c>
      <c r="H104" s="63">
        <f>'Local multi year dist'!Z104</f>
        <v>376676.54902509751</v>
      </c>
      <c r="I104" s="63">
        <f>'Local multi year dist'!AA104</f>
        <v>527914.92733995558</v>
      </c>
      <c r="J104" s="63">
        <f>'Local multi year dist'!AB104</f>
        <v>530316.90621092136</v>
      </c>
      <c r="K104" s="63">
        <f>'Local multi year dist'!AC104</f>
        <v>496531.96477608447</v>
      </c>
      <c r="L104" s="63">
        <f>'Local multi year dist'!AD104</f>
        <v>460784.70352011279</v>
      </c>
      <c r="M104" s="63">
        <f>'Local multi year dist'!AE104</f>
        <v>423610.90946244891</v>
      </c>
      <c r="N104" s="63">
        <f>'Local multi year dist'!AF104</f>
        <v>323277.03564846719</v>
      </c>
      <c r="O104" s="63">
        <f>'Local multi year dist'!AG104</f>
        <v>323277.03564846719</v>
      </c>
      <c r="P104" s="63">
        <f>'Local multi year dist'!AH104</f>
        <v>323277.03564846719</v>
      </c>
      <c r="Q104" s="63">
        <f>'Local multi year dist'!AI104</f>
        <v>268596.30383593094</v>
      </c>
      <c r="R104" s="63">
        <f>'Local multi year dist'!AJ104</f>
        <v>268596.30383593094</v>
      </c>
      <c r="S104" s="63">
        <f>'Local multi year dist'!AK104</f>
        <v>188048.87824203874</v>
      </c>
      <c r="T104" s="63"/>
      <c r="U104" s="63">
        <f>'Local multi year dist'!AM104</f>
        <v>0</v>
      </c>
      <c r="V104" s="63">
        <f>'Local multi year dist'!AN104</f>
        <v>331237.24529904383</v>
      </c>
      <c r="W104" s="63">
        <f>'Local multi year dist'!AO104</f>
        <v>383424.15231723012</v>
      </c>
      <c r="X104" s="63">
        <f>'Local multi year dist'!AP104</f>
        <v>149310.80294921115</v>
      </c>
      <c r="Y104" s="63">
        <f>'Local multi year dist'!AQ104</f>
        <v>163817.51983055103</v>
      </c>
      <c r="Z104" s="63">
        <f>'Local multi year dist'!AR104</f>
        <v>174523.34748246617</v>
      </c>
      <c r="AA104" s="63">
        <f>'Local multi year dist'!AS104</f>
        <v>131352.44256305631</v>
      </c>
      <c r="AB104" s="63">
        <f>'Local multi year dist'!AT104</f>
        <v>186806.51461183763</v>
      </c>
      <c r="AC104" s="63">
        <f>'Local multi year dist'!AU104</f>
        <v>187927.6917409818</v>
      </c>
      <c r="AD104" s="63">
        <f>'Local multi year dist'!AV104</f>
        <v>174776.37084144456</v>
      </c>
      <c r="AE104" s="63">
        <f>'Local multi year dist'!AW104</f>
        <v>161672.85779558375</v>
      </c>
      <c r="AF104" s="63">
        <f>'Local multi year dist'!AX104</f>
        <v>148042.46664110699</v>
      </c>
      <c r="AG104" s="63">
        <f>'Local multi year dist'!AY104</f>
        <v>115581.50746599527</v>
      </c>
      <c r="AH104" s="63">
        <f>'Local multi year dist'!AZ104</f>
        <v>115581.50746599527</v>
      </c>
      <c r="AI104" s="63">
        <f>'Local multi year dist'!BA104</f>
        <v>115581.50746599527</v>
      </c>
      <c r="AJ104" s="63">
        <f>'Local multi year dist'!BB104</f>
        <v>95531.905801398651</v>
      </c>
      <c r="AK104" s="63">
        <f>'Local multi year dist'!BC104</f>
        <v>95531.905801398651</v>
      </c>
      <c r="AL104" s="63">
        <f>'Local multi year dist'!BD104</f>
        <v>68951.255355414207</v>
      </c>
      <c r="AN104" s="63">
        <f>'Local multi year dist'!BF104</f>
        <v>0</v>
      </c>
      <c r="AO104" s="63">
        <f>'Local multi year dist'!BG104</f>
        <v>82809.311324760958</v>
      </c>
      <c r="AP104" s="63">
        <f>'Local multi year dist'!BH104</f>
        <v>95856.038079307531</v>
      </c>
      <c r="AQ104" s="63">
        <f>'Local multi year dist'!BI104</f>
        <v>37327.700737302788</v>
      </c>
      <c r="AR104" s="63">
        <f>'Local multi year dist'!BJ104</f>
        <v>40954.379957637757</v>
      </c>
      <c r="AS104" s="63">
        <f>'Local multi year dist'!BK104</f>
        <v>43630.836870616542</v>
      </c>
      <c r="AT104" s="63">
        <f>'Local multi year dist'!BL104</f>
        <v>32838.110640764076</v>
      </c>
      <c r="AU104" s="63">
        <f>'Local multi year dist'!BM104</f>
        <v>46701.628652959407</v>
      </c>
      <c r="AV104" s="63">
        <f>'Local multi year dist'!BN104</f>
        <v>46981.922935245449</v>
      </c>
      <c r="AW104" s="63">
        <f>'Local multi year dist'!BO104</f>
        <v>43694.092710361139</v>
      </c>
      <c r="AX104" s="63">
        <f>'Local multi year dist'!BP104</f>
        <v>40418.214448895938</v>
      </c>
      <c r="AY104" s="63">
        <f>'Local multi year dist'!BQ104</f>
        <v>37010.616660276748</v>
      </c>
      <c r="AZ104" s="63">
        <f>'Local multi year dist'!BR104</f>
        <v>28895.376866498817</v>
      </c>
      <c r="BA104" s="63">
        <f>'Local multi year dist'!BS104</f>
        <v>28895.376866498817</v>
      </c>
      <c r="BB104" s="63">
        <f>'Local multi year dist'!BT104</f>
        <v>28895.376866498817</v>
      </c>
      <c r="BC104" s="63">
        <f>'Local multi year dist'!BU104</f>
        <v>23882.976450349663</v>
      </c>
      <c r="BD104" s="63">
        <f>'Local multi year dist'!BV104</f>
        <v>23882.976450349663</v>
      </c>
      <c r="BE104" s="63">
        <f>'Local multi year dist'!BW104</f>
        <v>17237.813838853552</v>
      </c>
      <c r="BF104" s="63"/>
      <c r="BG104" s="63"/>
      <c r="BH104" s="63"/>
      <c r="BI104" s="63"/>
      <c r="BJ104" s="63"/>
      <c r="BK104" s="63"/>
      <c r="BL104" s="63"/>
      <c r="BM104" s="63"/>
      <c r="BN104" s="63"/>
      <c r="BO104" s="63"/>
      <c r="BP104" s="63"/>
      <c r="BQ104" s="63"/>
    </row>
    <row r="105" spans="1:69" x14ac:dyDescent="0.25">
      <c r="A105" t="str">
        <f>'Local multi year dist'!S105</f>
        <v>Pulaski County</v>
      </c>
      <c r="B105" s="63">
        <f>'Local multi year dist'!T105</f>
        <v>43143.971887841697</v>
      </c>
      <c r="C105" s="63">
        <f>'Local multi year dist'!U105</f>
        <v>273124.86369107483</v>
      </c>
      <c r="D105" s="63">
        <f>'Local multi year dist'!V105</f>
        <v>336832.84407582064</v>
      </c>
      <c r="E105" s="63">
        <f>'Local multi year dist'!W105</f>
        <v>129174.65002215485</v>
      </c>
      <c r="F105" s="63">
        <f>'Local multi year dist'!X105</f>
        <v>138806.50918029118</v>
      </c>
      <c r="G105" s="63">
        <f>'Local multi year dist'!Y105</f>
        <v>147518.19989919034</v>
      </c>
      <c r="H105" s="63">
        <f>'Local multi year dist'!Z105</f>
        <v>112388.58788403501</v>
      </c>
      <c r="I105" s="63">
        <f>'Local multi year dist'!AA105</f>
        <v>157513.42460846258</v>
      </c>
      <c r="J105" s="63">
        <f>'Local multi year dist'!AB105</f>
        <v>158230.1005314363</v>
      </c>
      <c r="K105" s="63">
        <f>'Local multi year dist'!AC105</f>
        <v>148149.72289860112</v>
      </c>
      <c r="L105" s="63">
        <f>'Local multi year dist'!AD105</f>
        <v>137483.84995355445</v>
      </c>
      <c r="M105" s="63">
        <f>'Local multi year dist'!AE105</f>
        <v>126392.3439087903</v>
      </c>
      <c r="N105" s="63">
        <f>'Local multi year dist'!AF105</f>
        <v>96455.830940107902</v>
      </c>
      <c r="O105" s="63">
        <f>'Local multi year dist'!AG105</f>
        <v>96455.830940107902</v>
      </c>
      <c r="P105" s="63">
        <f>'Local multi year dist'!AH105</f>
        <v>96455.830940107902</v>
      </c>
      <c r="Q105" s="63">
        <f>'Local multi year dist'!AI105</f>
        <v>80140.798191766793</v>
      </c>
      <c r="R105" s="63">
        <f>'Local multi year dist'!AJ105</f>
        <v>80140.798191766793</v>
      </c>
      <c r="S105" s="63">
        <f>'Local multi year dist'!AK105</f>
        <v>56107.947079528436</v>
      </c>
      <c r="T105" s="63"/>
      <c r="U105" s="63">
        <f>'Local multi year dist'!AM105</f>
        <v>0</v>
      </c>
      <c r="V105" s="63">
        <f>'Local multi year dist'!AN105</f>
        <v>98830.910366222015</v>
      </c>
      <c r="W105" s="63">
        <f>'Local multi year dist'!AO105</f>
        <v>114401.863219511</v>
      </c>
      <c r="X105" s="63">
        <f>'Local multi year dist'!AP105</f>
        <v>44549.708079053162</v>
      </c>
      <c r="Y105" s="63">
        <f>'Local multi year dist'!AQ105</f>
        <v>48878.062019182973</v>
      </c>
      <c r="Z105" s="63">
        <f>'Local multi year dist'!AR105</f>
        <v>52072.348616112657</v>
      </c>
      <c r="AA105" s="63">
        <f>'Local multi year dist'!AS105</f>
        <v>39191.490877222364</v>
      </c>
      <c r="AB105" s="63">
        <f>'Local multi year dist'!AT105</f>
        <v>55737.26434284581</v>
      </c>
      <c r="AC105" s="63">
        <f>'Local multi year dist'!AU105</f>
        <v>56071.788789983599</v>
      </c>
      <c r="AD105" s="63">
        <f>'Local multi year dist'!AV105</f>
        <v>52147.842931038431</v>
      </c>
      <c r="AE105" s="63">
        <f>'Local multi year dist'!AW105</f>
        <v>48238.161451381988</v>
      </c>
      <c r="AF105" s="63">
        <f>'Local multi year dist'!AX105</f>
        <v>44171.275901635127</v>
      </c>
      <c r="AG105" s="63">
        <f>'Local multi year dist'!AY105</f>
        <v>34485.933470590826</v>
      </c>
      <c r="AH105" s="63">
        <f>'Local multi year dist'!AZ105</f>
        <v>34485.933470590826</v>
      </c>
      <c r="AI105" s="63">
        <f>'Local multi year dist'!BA105</f>
        <v>34485.933470590826</v>
      </c>
      <c r="AJ105" s="63">
        <f>'Local multi year dist'!BB105</f>
        <v>28503.754796199089</v>
      </c>
      <c r="AK105" s="63">
        <f>'Local multi year dist'!BC105</f>
        <v>28503.754796199089</v>
      </c>
      <c r="AL105" s="63">
        <f>'Local multi year dist'!BD105</f>
        <v>20572.913929160426</v>
      </c>
      <c r="AN105" s="63">
        <f>'Local multi year dist'!BF105</f>
        <v>0</v>
      </c>
      <c r="AO105" s="63">
        <f>'Local multi year dist'!BG105</f>
        <v>24707.727591555504</v>
      </c>
      <c r="AP105" s="63">
        <f>'Local multi year dist'!BH105</f>
        <v>28600.465804877749</v>
      </c>
      <c r="AQ105" s="63">
        <f>'Local multi year dist'!BI105</f>
        <v>11137.42701976329</v>
      </c>
      <c r="AR105" s="63">
        <f>'Local multi year dist'!BJ105</f>
        <v>12219.515504795743</v>
      </c>
      <c r="AS105" s="63">
        <f>'Local multi year dist'!BK105</f>
        <v>13018.087154028164</v>
      </c>
      <c r="AT105" s="63">
        <f>'Local multi year dist'!BL105</f>
        <v>9797.8727193055911</v>
      </c>
      <c r="AU105" s="63">
        <f>'Local multi year dist'!BM105</f>
        <v>13934.316085711453</v>
      </c>
      <c r="AV105" s="63">
        <f>'Local multi year dist'!BN105</f>
        <v>14017.9471974959</v>
      </c>
      <c r="AW105" s="63">
        <f>'Local multi year dist'!BO105</f>
        <v>13036.960732759608</v>
      </c>
      <c r="AX105" s="63">
        <f>'Local multi year dist'!BP105</f>
        <v>12059.540362845497</v>
      </c>
      <c r="AY105" s="63">
        <f>'Local multi year dist'!BQ105</f>
        <v>11042.818975408782</v>
      </c>
      <c r="AZ105" s="63">
        <f>'Local multi year dist'!BR105</f>
        <v>8621.4833676477065</v>
      </c>
      <c r="BA105" s="63">
        <f>'Local multi year dist'!BS105</f>
        <v>8621.4833676477065</v>
      </c>
      <c r="BB105" s="63">
        <f>'Local multi year dist'!BT105</f>
        <v>8621.4833676477065</v>
      </c>
      <c r="BC105" s="63">
        <f>'Local multi year dist'!BU105</f>
        <v>7125.9386990497724</v>
      </c>
      <c r="BD105" s="63">
        <f>'Local multi year dist'!BV105</f>
        <v>7125.9386990497724</v>
      </c>
      <c r="BE105" s="63">
        <f>'Local multi year dist'!BW105</f>
        <v>5143.2284822901065</v>
      </c>
      <c r="BF105" s="63"/>
      <c r="BG105" s="63"/>
      <c r="BH105" s="63"/>
      <c r="BI105" s="63"/>
      <c r="BJ105" s="63"/>
      <c r="BK105" s="63"/>
      <c r="BL105" s="63"/>
      <c r="BM105" s="63"/>
      <c r="BN105" s="63"/>
      <c r="BO105" s="63"/>
      <c r="BP105" s="63"/>
      <c r="BQ105" s="63"/>
    </row>
    <row r="106" spans="1:69" x14ac:dyDescent="0.25">
      <c r="A106" t="str">
        <f>'Local multi year dist'!S106</f>
        <v>Radford City</v>
      </c>
      <c r="B106" s="63">
        <f>'Local multi year dist'!T106</f>
        <v>10043.884124690763</v>
      </c>
      <c r="C106" s="63">
        <f>'Local multi year dist'!U106</f>
        <v>63583.26232959047</v>
      </c>
      <c r="D106" s="63">
        <f>'Local multi year dist'!V106</f>
        <v>78414.432126981817</v>
      </c>
      <c r="E106" s="63">
        <f>'Local multi year dist'!W106</f>
        <v>30071.761126741047</v>
      </c>
      <c r="F106" s="63">
        <f>'Local multi year dist'!X106</f>
        <v>32314.050676278912</v>
      </c>
      <c r="G106" s="63">
        <f>'Local multi year dist'!Y106</f>
        <v>34342.12570697457</v>
      </c>
      <c r="H106" s="63">
        <f>'Local multi year dist'!Z106</f>
        <v>26163.978517772524</v>
      </c>
      <c r="I106" s="63">
        <f>'Local multi year dist'!AA106</f>
        <v>36669.006482837191</v>
      </c>
      <c r="J106" s="63">
        <f>'Local multi year dist'!AB106</f>
        <v>36835.848097327776</v>
      </c>
      <c r="K106" s="63">
        <f>'Local multi year dist'!AC106</f>
        <v>34489.143785065484</v>
      </c>
      <c r="L106" s="63">
        <f>'Local multi year dist'!AD106</f>
        <v>32006.13660558714</v>
      </c>
      <c r="M106" s="63">
        <f>'Local multi year dist'!AE106</f>
        <v>29424.042361424323</v>
      </c>
      <c r="N106" s="63">
        <f>'Local multi year dist'!AF106</f>
        <v>22454.84471461513</v>
      </c>
      <c r="O106" s="63">
        <f>'Local multi year dist'!AG106</f>
        <v>22454.84471461513</v>
      </c>
      <c r="P106" s="63">
        <f>'Local multi year dist'!AH106</f>
        <v>22454.84471461513</v>
      </c>
      <c r="Q106" s="63">
        <f>'Local multi year dist'!AI106</f>
        <v>18656.717392428276</v>
      </c>
      <c r="R106" s="63">
        <f>'Local multi year dist'!AJ106</f>
        <v>18656.717392428276</v>
      </c>
      <c r="S106" s="63">
        <f>'Local multi year dist'!AK106</f>
        <v>13061.88777440483</v>
      </c>
      <c r="T106" s="63"/>
      <c r="U106" s="63">
        <f>'Local multi year dist'!AM106</f>
        <v>0</v>
      </c>
      <c r="V106" s="63">
        <f>'Local multi year dist'!AN106</f>
        <v>23007.76141419118</v>
      </c>
      <c r="W106" s="63">
        <f>'Local multi year dist'!AO106</f>
        <v>26632.667497850351</v>
      </c>
      <c r="X106" s="63">
        <f>'Local multi year dist'!AP106</f>
        <v>10371.138450071754</v>
      </c>
      <c r="Y106" s="63">
        <f>'Local multi year dist'!AQ106</f>
        <v>11378.775983730626</v>
      </c>
      <c r="Z106" s="63">
        <f>'Local multi year dist'!AR106</f>
        <v>12122.4034949857</v>
      </c>
      <c r="AA106" s="63">
        <f>'Local multi year dist'!AS106</f>
        <v>9123.7495256116163</v>
      </c>
      <c r="AB106" s="63">
        <f>'Local multi year dist'!AT106</f>
        <v>12975.593112801995</v>
      </c>
      <c r="AC106" s="63">
        <f>'Local multi year dist'!AU106</f>
        <v>13053.470151862346</v>
      </c>
      <c r="AD106" s="63">
        <f>'Local multi year dist'!AV106</f>
        <v>12139.97851457728</v>
      </c>
      <c r="AE106" s="63">
        <f>'Local multi year dist'!AW106</f>
        <v>11229.807614035206</v>
      </c>
      <c r="AF106" s="63">
        <f>'Local multi year dist'!AX106</f>
        <v>10283.039724508837</v>
      </c>
      <c r="AG106" s="63">
        <f>'Local multi year dist'!AY106</f>
        <v>8028.2993093646883</v>
      </c>
      <c r="AH106" s="63">
        <f>'Local multi year dist'!AZ106</f>
        <v>8028.2993093646883</v>
      </c>
      <c r="AI106" s="63">
        <f>'Local multi year dist'!BA106</f>
        <v>8028.2993093646883</v>
      </c>
      <c r="AJ106" s="63">
        <f>'Local multi year dist'!BB106</f>
        <v>6635.652624562842</v>
      </c>
      <c r="AK106" s="63">
        <f>'Local multi year dist'!BC106</f>
        <v>6635.652624562842</v>
      </c>
      <c r="AL106" s="63">
        <f>'Local multi year dist'!BD106</f>
        <v>4789.3588506151036</v>
      </c>
      <c r="AN106" s="63">
        <f>'Local multi year dist'!BF106</f>
        <v>0</v>
      </c>
      <c r="AO106" s="63">
        <f>'Local multi year dist'!BG106</f>
        <v>5751.940353547795</v>
      </c>
      <c r="AP106" s="63">
        <f>'Local multi year dist'!BH106</f>
        <v>6658.1668744625877</v>
      </c>
      <c r="AQ106" s="63">
        <f>'Local multi year dist'!BI106</f>
        <v>2592.7846125179385</v>
      </c>
      <c r="AR106" s="63">
        <f>'Local multi year dist'!BJ106</f>
        <v>2844.6939959326564</v>
      </c>
      <c r="AS106" s="63">
        <f>'Local multi year dist'!BK106</f>
        <v>3030.6008737464249</v>
      </c>
      <c r="AT106" s="63">
        <f>'Local multi year dist'!BL106</f>
        <v>2280.9373814029041</v>
      </c>
      <c r="AU106" s="63">
        <f>'Local multi year dist'!BM106</f>
        <v>3243.8982782004987</v>
      </c>
      <c r="AV106" s="63">
        <f>'Local multi year dist'!BN106</f>
        <v>3263.3675379655865</v>
      </c>
      <c r="AW106" s="63">
        <f>'Local multi year dist'!BO106</f>
        <v>3034.9946286443201</v>
      </c>
      <c r="AX106" s="63">
        <f>'Local multi year dist'!BP106</f>
        <v>2807.4519035088015</v>
      </c>
      <c r="AY106" s="63">
        <f>'Local multi year dist'!BQ106</f>
        <v>2570.7599311272093</v>
      </c>
      <c r="AZ106" s="63">
        <f>'Local multi year dist'!BR106</f>
        <v>2007.0748273411721</v>
      </c>
      <c r="BA106" s="63">
        <f>'Local multi year dist'!BS106</f>
        <v>2007.0748273411721</v>
      </c>
      <c r="BB106" s="63">
        <f>'Local multi year dist'!BT106</f>
        <v>2007.0748273411721</v>
      </c>
      <c r="BC106" s="63">
        <f>'Local multi year dist'!BU106</f>
        <v>1658.9131561407105</v>
      </c>
      <c r="BD106" s="63">
        <f>'Local multi year dist'!BV106</f>
        <v>1658.9131561407105</v>
      </c>
      <c r="BE106" s="63">
        <f>'Local multi year dist'!BW106</f>
        <v>1197.3397126537759</v>
      </c>
      <c r="BF106" s="63"/>
      <c r="BG106" s="63"/>
      <c r="BH106" s="63"/>
      <c r="BI106" s="63"/>
      <c r="BJ106" s="63"/>
      <c r="BK106" s="63"/>
      <c r="BL106" s="63"/>
      <c r="BM106" s="63"/>
      <c r="BN106" s="63"/>
      <c r="BO106" s="63"/>
      <c r="BP106" s="63"/>
      <c r="BQ106" s="63"/>
    </row>
    <row r="107" spans="1:69" x14ac:dyDescent="0.25">
      <c r="A107" t="str">
        <f>'Local multi year dist'!S107</f>
        <v>Rappahannock County</v>
      </c>
      <c r="B107" s="63">
        <f>'Local multi year dist'!T107</f>
        <v>3700.3783617281761</v>
      </c>
      <c r="C107" s="63">
        <f>'Local multi year dist'!U107</f>
        <v>23425.412437217539</v>
      </c>
      <c r="D107" s="63">
        <f>'Local multi year dist'!V107</f>
        <v>28889.527625730141</v>
      </c>
      <c r="E107" s="63">
        <f>'Local multi year dist'!W107</f>
        <v>11079.069888799331</v>
      </c>
      <c r="F107" s="63">
        <f>'Local multi year dist'!X107</f>
        <v>11905.176564944863</v>
      </c>
      <c r="G107" s="63">
        <f>'Local multi year dist'!Y107</f>
        <v>12652.362102569577</v>
      </c>
      <c r="H107" s="63">
        <f>'Local multi year dist'!Z107</f>
        <v>9639.3605065477714</v>
      </c>
      <c r="I107" s="63">
        <f>'Local multi year dist'!AA107</f>
        <v>13509.633967361069</v>
      </c>
      <c r="J107" s="63">
        <f>'Local multi year dist'!AB107</f>
        <v>13571.101930594443</v>
      </c>
      <c r="K107" s="63">
        <f>'Local multi year dist'!AC107</f>
        <v>12706.526657655704</v>
      </c>
      <c r="L107" s="63">
        <f>'Local multi year dist'!AD107</f>
        <v>11791.734538900524</v>
      </c>
      <c r="M107" s="63">
        <f>'Local multi year dist'!AE107</f>
        <v>10840.436659472118</v>
      </c>
      <c r="N107" s="63">
        <f>'Local multi year dist'!AF107</f>
        <v>8272.8375264371534</v>
      </c>
      <c r="O107" s="63">
        <f>'Local multi year dist'!AG107</f>
        <v>8272.8375264371534</v>
      </c>
      <c r="P107" s="63">
        <f>'Local multi year dist'!AH107</f>
        <v>8272.8375264371534</v>
      </c>
      <c r="Q107" s="63">
        <f>'Local multi year dist'!AI107</f>
        <v>6873.5274603683119</v>
      </c>
      <c r="R107" s="63">
        <f>'Local multi year dist'!AJ107</f>
        <v>6873.5274603683119</v>
      </c>
      <c r="S107" s="63">
        <f>'Local multi year dist'!AK107</f>
        <v>4812.2744432017789</v>
      </c>
      <c r="T107" s="63"/>
      <c r="U107" s="63">
        <f>'Local multi year dist'!AM107</f>
        <v>0</v>
      </c>
      <c r="V107" s="63">
        <f>'Local multi year dist'!AN107</f>
        <v>8476.5436789125397</v>
      </c>
      <c r="W107" s="63">
        <f>'Local multi year dist'!AO107</f>
        <v>9812.0353939448651</v>
      </c>
      <c r="X107" s="63">
        <f>'Local multi year dist'!AP107</f>
        <v>3820.9457447632776</v>
      </c>
      <c r="Y107" s="63">
        <f>'Local multi year dist'!AQ107</f>
        <v>4192.1806255849679</v>
      </c>
      <c r="Z107" s="63">
        <f>'Local multi year dist'!AR107</f>
        <v>4466.1486560473631</v>
      </c>
      <c r="AA107" s="63">
        <f>'Local multi year dist'!AS107</f>
        <v>3361.3814041727005</v>
      </c>
      <c r="AB107" s="63">
        <f>'Local multi year dist'!AT107</f>
        <v>4780.4816731375768</v>
      </c>
      <c r="AC107" s="63">
        <f>'Local multi year dist'!AU107</f>
        <v>4809.173213844022</v>
      </c>
      <c r="AD107" s="63">
        <f>'Local multi year dist'!AV107</f>
        <v>4472.6236632653136</v>
      </c>
      <c r="AE107" s="63">
        <f>'Local multi year dist'!AW107</f>
        <v>4137.2975420129696</v>
      </c>
      <c r="AF107" s="63">
        <f>'Local multi year dist'!AX107</f>
        <v>3788.4883195558873</v>
      </c>
      <c r="AG107" s="63">
        <f>'Local multi year dist'!AY107</f>
        <v>2957.7944823975167</v>
      </c>
      <c r="AH107" s="63">
        <f>'Local multi year dist'!AZ107</f>
        <v>2957.7944823975167</v>
      </c>
      <c r="AI107" s="63">
        <f>'Local multi year dist'!BA107</f>
        <v>2957.7944823975167</v>
      </c>
      <c r="AJ107" s="63">
        <f>'Local multi year dist'!BB107</f>
        <v>2444.7141248389416</v>
      </c>
      <c r="AK107" s="63">
        <f>'Local multi year dist'!BC107</f>
        <v>2444.7141248389416</v>
      </c>
      <c r="AL107" s="63">
        <f>'Local multi year dist'!BD107</f>
        <v>1764.5006291739855</v>
      </c>
      <c r="AN107" s="63">
        <f>'Local multi year dist'!BF107</f>
        <v>0</v>
      </c>
      <c r="AO107" s="63">
        <f>'Local multi year dist'!BG107</f>
        <v>2119.1359197281349</v>
      </c>
      <c r="AP107" s="63">
        <f>'Local multi year dist'!BH107</f>
        <v>2453.0088484862163</v>
      </c>
      <c r="AQ107" s="63">
        <f>'Local multi year dist'!BI107</f>
        <v>955.2364361908194</v>
      </c>
      <c r="AR107" s="63">
        <f>'Local multi year dist'!BJ107</f>
        <v>1048.045156396242</v>
      </c>
      <c r="AS107" s="63">
        <f>'Local multi year dist'!BK107</f>
        <v>1116.5371640118408</v>
      </c>
      <c r="AT107" s="63">
        <f>'Local multi year dist'!BL107</f>
        <v>840.34535104317513</v>
      </c>
      <c r="AU107" s="63">
        <f>'Local multi year dist'!BM107</f>
        <v>1195.1204182843942</v>
      </c>
      <c r="AV107" s="63">
        <f>'Local multi year dist'!BN107</f>
        <v>1202.2933034610055</v>
      </c>
      <c r="AW107" s="63">
        <f>'Local multi year dist'!BO107</f>
        <v>1118.1559158163284</v>
      </c>
      <c r="AX107" s="63">
        <f>'Local multi year dist'!BP107</f>
        <v>1034.3243855032424</v>
      </c>
      <c r="AY107" s="63">
        <f>'Local multi year dist'!BQ107</f>
        <v>947.12207988897183</v>
      </c>
      <c r="AZ107" s="63">
        <f>'Local multi year dist'!BR107</f>
        <v>739.44862059937918</v>
      </c>
      <c r="BA107" s="63">
        <f>'Local multi year dist'!BS107</f>
        <v>739.44862059937918</v>
      </c>
      <c r="BB107" s="63">
        <f>'Local multi year dist'!BT107</f>
        <v>739.44862059937918</v>
      </c>
      <c r="BC107" s="63">
        <f>'Local multi year dist'!BU107</f>
        <v>611.17853120973541</v>
      </c>
      <c r="BD107" s="63">
        <f>'Local multi year dist'!BV107</f>
        <v>611.17853120973541</v>
      </c>
      <c r="BE107" s="63">
        <f>'Local multi year dist'!BW107</f>
        <v>441.12515729349639</v>
      </c>
      <c r="BF107" s="63"/>
      <c r="BG107" s="63"/>
      <c r="BH107" s="63"/>
      <c r="BI107" s="63"/>
      <c r="BJ107" s="63"/>
      <c r="BK107" s="63"/>
      <c r="BL107" s="63"/>
      <c r="BM107" s="63"/>
      <c r="BN107" s="63"/>
      <c r="BO107" s="63"/>
      <c r="BP107" s="63"/>
      <c r="BQ107" s="63"/>
    </row>
    <row r="108" spans="1:69" x14ac:dyDescent="0.25">
      <c r="A108" t="str">
        <f>'Local multi year dist'!S108</f>
        <v>Richmond County</v>
      </c>
      <c r="B108" s="63">
        <f>'Local multi year dist'!T108</f>
        <v>3415.7338723644702</v>
      </c>
      <c r="C108" s="63">
        <f>'Local multi year dist'!U108</f>
        <v>21623.457634354654</v>
      </c>
      <c r="D108" s="63">
        <f>'Local multi year dist'!V108</f>
        <v>26667.256269904748</v>
      </c>
      <c r="E108" s="63">
        <f>'Local multi year dist'!W108</f>
        <v>10226.833743507077</v>
      </c>
      <c r="F108" s="63">
        <f>'Local multi year dist'!X108</f>
        <v>10989.393752256798</v>
      </c>
      <c r="G108" s="63">
        <f>'Local multi year dist'!Y108</f>
        <v>11679.103479294994</v>
      </c>
      <c r="H108" s="63">
        <f>'Local multi year dist'!Z108</f>
        <v>8897.8712368133292</v>
      </c>
      <c r="I108" s="63">
        <f>'Local multi year dist'!AA108</f>
        <v>12470.431354487142</v>
      </c>
      <c r="J108" s="63">
        <f>'Local multi year dist'!AB108</f>
        <v>12527.17101285641</v>
      </c>
      <c r="K108" s="63">
        <f>'Local multi year dist'!AC108</f>
        <v>11729.101530143729</v>
      </c>
      <c r="L108" s="63">
        <f>'Local multi year dist'!AD108</f>
        <v>10884.678035908177</v>
      </c>
      <c r="M108" s="63">
        <f>'Local multi year dist'!AE108</f>
        <v>10006.556916435802</v>
      </c>
      <c r="N108" s="63">
        <f>'Local multi year dist'!AF108</f>
        <v>7636.4654090189106</v>
      </c>
      <c r="O108" s="63">
        <f>'Local multi year dist'!AG108</f>
        <v>7636.4654090189106</v>
      </c>
      <c r="P108" s="63">
        <f>'Local multi year dist'!AH108</f>
        <v>7636.4654090189106</v>
      </c>
      <c r="Q108" s="63">
        <f>'Local multi year dist'!AI108</f>
        <v>6344.7945788015195</v>
      </c>
      <c r="R108" s="63">
        <f>'Local multi year dist'!AJ108</f>
        <v>6344.7945788015195</v>
      </c>
      <c r="S108" s="63">
        <f>'Local multi year dist'!AK108</f>
        <v>4442.0994860324117</v>
      </c>
      <c r="T108" s="63"/>
      <c r="U108" s="63">
        <f>'Local multi year dist'!AM108</f>
        <v>0</v>
      </c>
      <c r="V108" s="63">
        <f>'Local multi year dist'!AN108</f>
        <v>7824.5018574577289</v>
      </c>
      <c r="W108" s="63">
        <f>'Local multi year dist'!AO108</f>
        <v>9057.2634405644912</v>
      </c>
      <c r="X108" s="63">
        <f>'Local multi year dist'!AP108</f>
        <v>3527.0268413199492</v>
      </c>
      <c r="Y108" s="63">
        <f>'Local multi year dist'!AQ108</f>
        <v>3869.7051928476626</v>
      </c>
      <c r="Z108" s="63">
        <f>'Local multi year dist'!AR108</f>
        <v>4122.5987594283351</v>
      </c>
      <c r="AA108" s="63">
        <f>'Local multi year dist'!AS108</f>
        <v>3102.8136038517237</v>
      </c>
      <c r="AB108" s="63">
        <f>'Local multi year dist'!AT108</f>
        <v>4412.7523136654563</v>
      </c>
      <c r="AC108" s="63">
        <f>'Local multi year dist'!AU108</f>
        <v>4439.2368127790978</v>
      </c>
      <c r="AD108" s="63">
        <f>'Local multi year dist'!AV108</f>
        <v>4128.5756891679821</v>
      </c>
      <c r="AE108" s="63">
        <f>'Local multi year dist'!AW108</f>
        <v>3819.0438849350498</v>
      </c>
      <c r="AF108" s="63">
        <f>'Local multi year dist'!AX108</f>
        <v>3497.0661411285118</v>
      </c>
      <c r="AG108" s="63">
        <f>'Local multi year dist'!AY108</f>
        <v>2730.2718299054</v>
      </c>
      <c r="AH108" s="63">
        <f>'Local multi year dist'!AZ108</f>
        <v>2730.2718299054</v>
      </c>
      <c r="AI108" s="63">
        <f>'Local multi year dist'!BA108</f>
        <v>2730.2718299054</v>
      </c>
      <c r="AJ108" s="63">
        <f>'Local multi year dist'!BB108</f>
        <v>2256.6591921590234</v>
      </c>
      <c r="AK108" s="63">
        <f>'Local multi year dist'!BC108</f>
        <v>2256.6591921590234</v>
      </c>
      <c r="AL108" s="63">
        <f>'Local multi year dist'!BD108</f>
        <v>1628.7698115452176</v>
      </c>
      <c r="AN108" s="63">
        <f>'Local multi year dist'!BF108</f>
        <v>0</v>
      </c>
      <c r="AO108" s="63">
        <f>'Local multi year dist'!BG108</f>
        <v>1956.1254643644322</v>
      </c>
      <c r="AP108" s="63">
        <f>'Local multi year dist'!BH108</f>
        <v>2264.3158601411228</v>
      </c>
      <c r="AQ108" s="63">
        <f>'Local multi year dist'!BI108</f>
        <v>881.7567103299873</v>
      </c>
      <c r="AR108" s="63">
        <f>'Local multi year dist'!BJ108</f>
        <v>967.42629821191565</v>
      </c>
      <c r="AS108" s="63">
        <f>'Local multi year dist'!BK108</f>
        <v>1030.6496898570838</v>
      </c>
      <c r="AT108" s="63">
        <f>'Local multi year dist'!BL108</f>
        <v>775.70340096293091</v>
      </c>
      <c r="AU108" s="63">
        <f>'Local multi year dist'!BM108</f>
        <v>1103.1880784163641</v>
      </c>
      <c r="AV108" s="63">
        <f>'Local multi year dist'!BN108</f>
        <v>1109.8092031947745</v>
      </c>
      <c r="AW108" s="63">
        <f>'Local multi year dist'!BO108</f>
        <v>1032.1439222919955</v>
      </c>
      <c r="AX108" s="63">
        <f>'Local multi year dist'!BP108</f>
        <v>954.76097123376246</v>
      </c>
      <c r="AY108" s="63">
        <f>'Local multi year dist'!BQ108</f>
        <v>874.26653528212796</v>
      </c>
      <c r="AZ108" s="63">
        <f>'Local multi year dist'!BR108</f>
        <v>682.56795747634999</v>
      </c>
      <c r="BA108" s="63">
        <f>'Local multi year dist'!BS108</f>
        <v>682.56795747634999</v>
      </c>
      <c r="BB108" s="63">
        <f>'Local multi year dist'!BT108</f>
        <v>682.56795747634999</v>
      </c>
      <c r="BC108" s="63">
        <f>'Local multi year dist'!BU108</f>
        <v>564.16479803975585</v>
      </c>
      <c r="BD108" s="63">
        <f>'Local multi year dist'!BV108</f>
        <v>564.16479803975585</v>
      </c>
      <c r="BE108" s="63">
        <f>'Local multi year dist'!BW108</f>
        <v>407.19245288630441</v>
      </c>
      <c r="BF108" s="63"/>
      <c r="BG108" s="63"/>
      <c r="BH108" s="63"/>
      <c r="BI108" s="63"/>
      <c r="BJ108" s="63"/>
      <c r="BK108" s="63"/>
      <c r="BL108" s="63"/>
      <c r="BM108" s="63"/>
      <c r="BN108" s="63"/>
      <c r="BO108" s="63"/>
      <c r="BP108" s="63"/>
      <c r="BQ108" s="63"/>
    </row>
    <row r="109" spans="1:69" x14ac:dyDescent="0.25">
      <c r="A109" t="str">
        <f>'Local multi year dist'!S109</f>
        <v>Richmond City</v>
      </c>
      <c r="B109" s="63">
        <f>'Local multi year dist'!T109</f>
        <v>171803.28108023675</v>
      </c>
      <c r="C109" s="63">
        <f>'Local multi year dist'!U109</f>
        <v>1087608.4345851</v>
      </c>
      <c r="D109" s="63">
        <f>'Local multi year dist'!V109</f>
        <v>1341299.4969088994</v>
      </c>
      <c r="E109" s="63">
        <f>'Local multi year dist'!W109</f>
        <v>514385.38769425469</v>
      </c>
      <c r="F109" s="63">
        <f>'Local multi year dist'!X109</f>
        <v>552740.34051529714</v>
      </c>
      <c r="G109" s="63">
        <f>'Local multi year dist'!Y109</f>
        <v>587431.09761930176</v>
      </c>
      <c r="H109" s="63">
        <f>'Local multi year dist'!Z109</f>
        <v>447541.7378040037</v>
      </c>
      <c r="I109" s="63">
        <f>'Local multi year dist'!AA109</f>
        <v>627233.00562747824</v>
      </c>
      <c r="J109" s="63">
        <f>'Local multi year dist'!AB109</f>
        <v>630086.87534902769</v>
      </c>
      <c r="K109" s="63">
        <f>'Local multi year dist'!AC109</f>
        <v>589945.8805340149</v>
      </c>
      <c r="L109" s="63">
        <f>'Local multi year dist'!AD109</f>
        <v>547473.38930609578</v>
      </c>
      <c r="M109" s="63">
        <f>'Local multi year dist'!AE109</f>
        <v>503305.98776120547</v>
      </c>
      <c r="N109" s="63">
        <f>'Local multi year dist'!AF109</f>
        <v>384096.02801315353</v>
      </c>
      <c r="O109" s="63">
        <f>'Local multi year dist'!AG109</f>
        <v>384096.02801315353</v>
      </c>
      <c r="P109" s="63">
        <f>'Local multi year dist'!AH109</f>
        <v>384096.02801315353</v>
      </c>
      <c r="Q109" s="63">
        <f>'Local multi year dist'!AI109</f>
        <v>319128.06065995735</v>
      </c>
      <c r="R109" s="63">
        <f>'Local multi year dist'!AJ109</f>
        <v>319128.06065995735</v>
      </c>
      <c r="S109" s="63">
        <f>'Local multi year dist'!AK109</f>
        <v>223427.02772008261</v>
      </c>
      <c r="T109" s="63"/>
      <c r="U109" s="63">
        <f>'Local multi year dist'!AM109</f>
        <v>0</v>
      </c>
      <c r="V109" s="63">
        <f>'Local multi year dist'!AN109</f>
        <v>393553.81366379646</v>
      </c>
      <c r="W109" s="63">
        <f>'Local multi year dist'!AO109</f>
        <v>455558.78614744014</v>
      </c>
      <c r="X109" s="63">
        <f>'Local multi year dist'!AP109</f>
        <v>177401.05243543789</v>
      </c>
      <c r="Y109" s="63">
        <f>'Local multi year dist'!AQ109</f>
        <v>194636.95761644491</v>
      </c>
      <c r="Z109" s="63">
        <f>'Local multi year dist'!AR109</f>
        <v>207356.90188791326</v>
      </c>
      <c r="AA109" s="63">
        <f>'Local multi year dist'!AS109</f>
        <v>156064.13662230395</v>
      </c>
      <c r="AB109" s="63">
        <f>'Local multi year dist'!AT109</f>
        <v>221950.93482424464</v>
      </c>
      <c r="AC109" s="63">
        <f>'Local multi year dist'!AU109</f>
        <v>223283.0420713296</v>
      </c>
      <c r="AD109" s="63">
        <f>'Local multi year dist'!AV109</f>
        <v>207657.5272230324</v>
      </c>
      <c r="AE109" s="63">
        <f>'Local multi year dist'!AW109</f>
        <v>192088.81445060216</v>
      </c>
      <c r="AF109" s="63">
        <f>'Local multi year dist'!AX109</f>
        <v>175894.10055080906</v>
      </c>
      <c r="AG109" s="63">
        <f>'Local multi year dist'!AY109</f>
        <v>137326.17239702755</v>
      </c>
      <c r="AH109" s="63">
        <f>'Local multi year dist'!AZ109</f>
        <v>137326.17239702755</v>
      </c>
      <c r="AI109" s="63">
        <f>'Local multi year dist'!BA109</f>
        <v>137326.17239702755</v>
      </c>
      <c r="AJ109" s="63">
        <f>'Local multi year dist'!BB109</f>
        <v>113504.58436752229</v>
      </c>
      <c r="AK109" s="63">
        <f>'Local multi year dist'!BC109</f>
        <v>113504.58436752229</v>
      </c>
      <c r="AL109" s="63">
        <f>'Local multi year dist'!BD109</f>
        <v>81923.243497363612</v>
      </c>
      <c r="AN109" s="63">
        <f>'Local multi year dist'!BF109</f>
        <v>0</v>
      </c>
      <c r="AO109" s="63">
        <f>'Local multi year dist'!BG109</f>
        <v>98388.453415949116</v>
      </c>
      <c r="AP109" s="63">
        <f>'Local multi year dist'!BH109</f>
        <v>113889.69653686004</v>
      </c>
      <c r="AQ109" s="63">
        <f>'Local multi year dist'!BI109</f>
        <v>44350.263108859472</v>
      </c>
      <c r="AR109" s="63">
        <f>'Local multi year dist'!BJ109</f>
        <v>48659.239404111227</v>
      </c>
      <c r="AS109" s="63">
        <f>'Local multi year dist'!BK109</f>
        <v>51839.225471978316</v>
      </c>
      <c r="AT109" s="63">
        <f>'Local multi year dist'!BL109</f>
        <v>39016.034155575988</v>
      </c>
      <c r="AU109" s="63">
        <f>'Local multi year dist'!BM109</f>
        <v>55487.733706061161</v>
      </c>
      <c r="AV109" s="63">
        <f>'Local multi year dist'!BN109</f>
        <v>55820.760517832401</v>
      </c>
      <c r="AW109" s="63">
        <f>'Local multi year dist'!BO109</f>
        <v>51914.381805758101</v>
      </c>
      <c r="AX109" s="63">
        <f>'Local multi year dist'!BP109</f>
        <v>48022.203612650541</v>
      </c>
      <c r="AY109" s="63">
        <f>'Local multi year dist'!BQ109</f>
        <v>43973.525137702265</v>
      </c>
      <c r="AZ109" s="63">
        <f>'Local multi year dist'!BR109</f>
        <v>34331.543099256887</v>
      </c>
      <c r="BA109" s="63">
        <f>'Local multi year dist'!BS109</f>
        <v>34331.543099256887</v>
      </c>
      <c r="BB109" s="63">
        <f>'Local multi year dist'!BT109</f>
        <v>34331.543099256887</v>
      </c>
      <c r="BC109" s="63">
        <f>'Local multi year dist'!BU109</f>
        <v>28376.146091880571</v>
      </c>
      <c r="BD109" s="63">
        <f>'Local multi year dist'!BV109</f>
        <v>28376.146091880571</v>
      </c>
      <c r="BE109" s="63">
        <f>'Local multi year dist'!BW109</f>
        <v>20480.810874340903</v>
      </c>
      <c r="BF109" s="63"/>
      <c r="BG109" s="63"/>
      <c r="BH109" s="63"/>
      <c r="BI109" s="63"/>
      <c r="BJ109" s="63"/>
      <c r="BK109" s="63"/>
      <c r="BL109" s="63"/>
      <c r="BM109" s="63"/>
      <c r="BN109" s="63"/>
      <c r="BO109" s="63"/>
      <c r="BP109" s="63"/>
      <c r="BQ109" s="63"/>
    </row>
    <row r="110" spans="1:69" x14ac:dyDescent="0.25">
      <c r="A110" t="str">
        <f>'Local multi year dist'!S110</f>
        <v>Roanoke County</v>
      </c>
      <c r="B110" s="63">
        <f>'Local multi year dist'!T110</f>
        <v>60913.920723833049</v>
      </c>
      <c r="C110" s="63">
        <f>'Local multi year dist'!U110</f>
        <v>385618.32781265798</v>
      </c>
      <c r="D110" s="63">
        <f>'Local multi year dist'!V110</f>
        <v>475566.07014663465</v>
      </c>
      <c r="E110" s="63">
        <f>'Local multi year dist'!W110</f>
        <v>182378.53509254285</v>
      </c>
      <c r="F110" s="63">
        <f>'Local multi year dist'!X110</f>
        <v>195977.52191524618</v>
      </c>
      <c r="G110" s="63">
        <f>'Local multi year dist'!Y110</f>
        <v>208277.34538076073</v>
      </c>
      <c r="H110" s="63">
        <f>'Local multi year dist'!Z110</f>
        <v>158678.70372317103</v>
      </c>
      <c r="I110" s="63">
        <f>'Local multi year dist'!AA110</f>
        <v>222389.35915502068</v>
      </c>
      <c r="J110" s="63">
        <f>'Local multi year dist'!AB110</f>
        <v>223401.21639593929</v>
      </c>
      <c r="K110" s="63">
        <f>'Local multi year dist'!AC110</f>
        <v>209168.97728756315</v>
      </c>
      <c r="L110" s="63">
        <f>'Local multi year dist'!AD110</f>
        <v>194110.09164036249</v>
      </c>
      <c r="M110" s="63">
        <f>'Local multi year dist'!AE110</f>
        <v>178450.2650097718</v>
      </c>
      <c r="N110" s="63">
        <f>'Local multi year dist'!AF110</f>
        <v>136183.63312750391</v>
      </c>
      <c r="O110" s="63">
        <f>'Local multi year dist'!AG110</f>
        <v>136183.63312750391</v>
      </c>
      <c r="P110" s="63">
        <f>'Local multi year dist'!AH110</f>
        <v>136183.63312750391</v>
      </c>
      <c r="Q110" s="63">
        <f>'Local multi year dist'!AI110</f>
        <v>113148.83665529375</v>
      </c>
      <c r="R110" s="63">
        <f>'Local multi year dist'!AJ110</f>
        <v>113148.83665529375</v>
      </c>
      <c r="S110" s="63">
        <f>'Local multi year dist'!AK110</f>
        <v>79217.44083424467</v>
      </c>
      <c r="T110" s="63"/>
      <c r="U110" s="63">
        <f>'Local multi year dist'!AM110</f>
        <v>0</v>
      </c>
      <c r="V110" s="63">
        <f>'Local multi year dist'!AN110</f>
        <v>139536.94979132951</v>
      </c>
      <c r="W110" s="63">
        <f>'Local multi year dist'!AO110</f>
        <v>161521.19802340009</v>
      </c>
      <c r="X110" s="63">
        <f>'Local multi year dist'!AP110</f>
        <v>62898.645336872418</v>
      </c>
      <c r="Y110" s="63">
        <f>'Local multi year dist'!AQ110</f>
        <v>69009.742605783307</v>
      </c>
      <c r="Z110" s="63">
        <f>'Local multi year dist'!AR110</f>
        <v>73519.677876471978</v>
      </c>
      <c r="AA110" s="63">
        <f>'Local multi year dist'!AS110</f>
        <v>55333.509268689071</v>
      </c>
      <c r="AB110" s="63">
        <f>'Local multi year dist'!AT110</f>
        <v>78694.08292703396</v>
      </c>
      <c r="AC110" s="63">
        <f>'Local multi year dist'!AU110</f>
        <v>79166.389827893901</v>
      </c>
      <c r="AD110" s="63">
        <f>'Local multi year dist'!AV110</f>
        <v>73626.266456829006</v>
      </c>
      <c r="AE110" s="63">
        <f>'Local multi year dist'!AW110</f>
        <v>68106.282614675045</v>
      </c>
      <c r="AF110" s="63">
        <f>'Local multi year dist'!AX110</f>
        <v>62364.346183458452</v>
      </c>
      <c r="AG110" s="63">
        <f>'Local multi year dist'!AY110</f>
        <v>48689.847633312966</v>
      </c>
      <c r="AH110" s="63">
        <f>'Local multi year dist'!AZ110</f>
        <v>48689.847633312966</v>
      </c>
      <c r="AI110" s="63">
        <f>'Local multi year dist'!BA110</f>
        <v>48689.847633312966</v>
      </c>
      <c r="AJ110" s="63">
        <f>'Local multi year dist'!BB110</f>
        <v>40243.755593502581</v>
      </c>
      <c r="AK110" s="63">
        <f>'Local multi year dist'!BC110</f>
        <v>40243.755593502581</v>
      </c>
      <c r="AL110" s="63">
        <f>'Local multi year dist'!BD110</f>
        <v>29046.39497255638</v>
      </c>
      <c r="AN110" s="63">
        <f>'Local multi year dist'!BF110</f>
        <v>0</v>
      </c>
      <c r="AO110" s="63">
        <f>'Local multi year dist'!BG110</f>
        <v>34884.237447832376</v>
      </c>
      <c r="AP110" s="63">
        <f>'Local multi year dist'!BH110</f>
        <v>40380.299505850024</v>
      </c>
      <c r="AQ110" s="63">
        <f>'Local multi year dist'!BI110</f>
        <v>15724.661334218104</v>
      </c>
      <c r="AR110" s="63">
        <f>'Local multi year dist'!BJ110</f>
        <v>17252.435651445827</v>
      </c>
      <c r="AS110" s="63">
        <f>'Local multi year dist'!BK110</f>
        <v>18379.919469117995</v>
      </c>
      <c r="AT110" s="63">
        <f>'Local multi year dist'!BL110</f>
        <v>13833.377317172268</v>
      </c>
      <c r="AU110" s="63">
        <f>'Local multi year dist'!BM110</f>
        <v>19673.52073175849</v>
      </c>
      <c r="AV110" s="63">
        <f>'Local multi year dist'!BN110</f>
        <v>19791.597456973475</v>
      </c>
      <c r="AW110" s="63">
        <f>'Local multi year dist'!BO110</f>
        <v>18406.566614207251</v>
      </c>
      <c r="AX110" s="63">
        <f>'Local multi year dist'!BP110</f>
        <v>17026.570653668761</v>
      </c>
      <c r="AY110" s="63">
        <f>'Local multi year dist'!BQ110</f>
        <v>15591.086545864613</v>
      </c>
      <c r="AZ110" s="63">
        <f>'Local multi year dist'!BR110</f>
        <v>12172.461908328241</v>
      </c>
      <c r="BA110" s="63">
        <f>'Local multi year dist'!BS110</f>
        <v>12172.461908328241</v>
      </c>
      <c r="BB110" s="63">
        <f>'Local multi year dist'!BT110</f>
        <v>12172.461908328241</v>
      </c>
      <c r="BC110" s="63">
        <f>'Local multi year dist'!BU110</f>
        <v>10060.938898375645</v>
      </c>
      <c r="BD110" s="63">
        <f>'Local multi year dist'!BV110</f>
        <v>10060.938898375645</v>
      </c>
      <c r="BE110" s="63">
        <f>'Local multi year dist'!BW110</f>
        <v>7261.5987431390949</v>
      </c>
      <c r="BF110" s="63"/>
      <c r="BG110" s="63"/>
      <c r="BH110" s="63"/>
      <c r="BI110" s="63"/>
      <c r="BJ110" s="63"/>
      <c r="BK110" s="63"/>
      <c r="BL110" s="63"/>
      <c r="BM110" s="63"/>
      <c r="BN110" s="63"/>
      <c r="BO110" s="63"/>
      <c r="BP110" s="63"/>
      <c r="BQ110" s="63"/>
    </row>
    <row r="111" spans="1:69" x14ac:dyDescent="0.25">
      <c r="A111" t="str">
        <f>'Local multi year dist'!S111</f>
        <v>Roanoke City</v>
      </c>
      <c r="B111" s="63">
        <f>'Local multi year dist'!T111</f>
        <v>75593.443675304166</v>
      </c>
      <c r="C111" s="63">
        <f>'Local multi year dist'!U111</f>
        <v>478547.71121744404</v>
      </c>
      <c r="D111" s="63">
        <f>'Local multi year dist'!V111</f>
        <v>590171.77863991575</v>
      </c>
      <c r="E111" s="63">
        <f>'Local multi year dist'!W111</f>
        <v>226329.57058547207</v>
      </c>
      <c r="F111" s="63">
        <f>'Local multi year dist'!X111</f>
        <v>243205.74982673075</v>
      </c>
      <c r="G111" s="63">
        <f>'Local multi year dist'!Y111</f>
        <v>258469.68295249279</v>
      </c>
      <c r="H111" s="63">
        <f>'Local multi year dist'!Z111</f>
        <v>196918.36463376161</v>
      </c>
      <c r="I111" s="63">
        <f>'Local multi year dist'!AA111</f>
        <v>275982.52247609041</v>
      </c>
      <c r="J111" s="63">
        <f>'Local multi year dist'!AB111</f>
        <v>277238.22515357222</v>
      </c>
      <c r="K111" s="63">
        <f>'Local multi year dist'!AC111</f>
        <v>259576.18743496653</v>
      </c>
      <c r="L111" s="63">
        <f>'Local multi year dist'!AD111</f>
        <v>240888.29129468213</v>
      </c>
      <c r="M111" s="63">
        <f>'Local multi year dist'!AE111</f>
        <v>221454.6346149304</v>
      </c>
      <c r="N111" s="63">
        <f>'Local multi year dist'!AF111</f>
        <v>169002.25232578756</v>
      </c>
      <c r="O111" s="63">
        <f>'Local multi year dist'!AG111</f>
        <v>169002.25232578756</v>
      </c>
      <c r="P111" s="63">
        <f>'Local multi year dist'!AH111</f>
        <v>169002.25232578756</v>
      </c>
      <c r="Q111" s="63">
        <f>'Local multi year dist'!AI111</f>
        <v>140416.34669038124</v>
      </c>
      <c r="R111" s="63">
        <f>'Local multi year dist'!AJ111</f>
        <v>140416.34669038124</v>
      </c>
      <c r="S111" s="63">
        <f>'Local multi year dist'!AK111</f>
        <v>98307.892196836343</v>
      </c>
      <c r="T111" s="63"/>
      <c r="U111" s="63">
        <f>'Local multi year dist'!AM111</f>
        <v>0</v>
      </c>
      <c r="V111" s="63">
        <f>'Local multi year dist'!AN111</f>
        <v>173163.67801207045</v>
      </c>
      <c r="W111" s="63">
        <f>'Local multi year dist'!AO111</f>
        <v>200445.86590487367</v>
      </c>
      <c r="X111" s="63">
        <f>'Local multi year dist'!AP111</f>
        <v>78056.463071592676</v>
      </c>
      <c r="Y111" s="63">
        <f>'Local multi year dist'!AQ111</f>
        <v>85640.261351235764</v>
      </c>
      <c r="Z111" s="63">
        <f>'Local multi year dist'!AR111</f>
        <v>91237.036830681842</v>
      </c>
      <c r="AA111" s="63">
        <f>'Local multi year dist'!AS111</f>
        <v>68668.220113813746</v>
      </c>
      <c r="AB111" s="63">
        <f>'Local multi year dist'!AT111</f>
        <v>97658.411322667642</v>
      </c>
      <c r="AC111" s="63">
        <f>'Local multi year dist'!AU111</f>
        <v>98244.538511385021</v>
      </c>
      <c r="AD111" s="63">
        <f>'Local multi year dist'!AV111</f>
        <v>91369.311978134254</v>
      </c>
      <c r="AE111" s="63">
        <f>'Local multi year dist'!AW111</f>
        <v>84519.07835826496</v>
      </c>
      <c r="AF111" s="63">
        <f>'Local multi year dist'!AX111</f>
        <v>77393.404242355988</v>
      </c>
      <c r="AG111" s="63">
        <f>'Local multi year dist'!AY111</f>
        <v>60423.515854692123</v>
      </c>
      <c r="AH111" s="63">
        <f>'Local multi year dist'!AZ111</f>
        <v>60423.515854692123</v>
      </c>
      <c r="AI111" s="63">
        <f>'Local multi year dist'!BA111</f>
        <v>60423.515854692123</v>
      </c>
      <c r="AJ111" s="63">
        <f>'Local multi year dist'!BB111</f>
        <v>49942.01712170981</v>
      </c>
      <c r="AK111" s="63">
        <f>'Local multi year dist'!BC111</f>
        <v>49942.01712170981</v>
      </c>
      <c r="AL111" s="63">
        <f>'Local multi year dist'!BD111</f>
        <v>36046.227138839989</v>
      </c>
      <c r="AN111" s="63">
        <f>'Local multi year dist'!BF111</f>
        <v>0</v>
      </c>
      <c r="AO111" s="63">
        <f>'Local multi year dist'!BG111</f>
        <v>43290.919503017612</v>
      </c>
      <c r="AP111" s="63">
        <f>'Local multi year dist'!BH111</f>
        <v>50111.466476218418</v>
      </c>
      <c r="AQ111" s="63">
        <f>'Local multi year dist'!BI111</f>
        <v>19514.115767898169</v>
      </c>
      <c r="AR111" s="63">
        <f>'Local multi year dist'!BJ111</f>
        <v>21410.065337808941</v>
      </c>
      <c r="AS111" s="63">
        <f>'Local multi year dist'!BK111</f>
        <v>22809.25920767046</v>
      </c>
      <c r="AT111" s="63">
        <f>'Local multi year dist'!BL111</f>
        <v>17167.055028453437</v>
      </c>
      <c r="AU111" s="63">
        <f>'Local multi year dist'!BM111</f>
        <v>24414.60283066691</v>
      </c>
      <c r="AV111" s="63">
        <f>'Local multi year dist'!BN111</f>
        <v>24561.134627846255</v>
      </c>
      <c r="AW111" s="63">
        <f>'Local multi year dist'!BO111</f>
        <v>22842.327994533563</v>
      </c>
      <c r="AX111" s="63">
        <f>'Local multi year dist'!BP111</f>
        <v>21129.76958956624</v>
      </c>
      <c r="AY111" s="63">
        <f>'Local multi year dist'!BQ111</f>
        <v>19348.351060588997</v>
      </c>
      <c r="AZ111" s="63">
        <f>'Local multi year dist'!BR111</f>
        <v>15105.878963673031</v>
      </c>
      <c r="BA111" s="63">
        <f>'Local multi year dist'!BS111</f>
        <v>15105.878963673031</v>
      </c>
      <c r="BB111" s="63">
        <f>'Local multi year dist'!BT111</f>
        <v>15105.878963673031</v>
      </c>
      <c r="BC111" s="63">
        <f>'Local multi year dist'!BU111</f>
        <v>12485.504280427453</v>
      </c>
      <c r="BD111" s="63">
        <f>'Local multi year dist'!BV111</f>
        <v>12485.504280427453</v>
      </c>
      <c r="BE111" s="63">
        <f>'Local multi year dist'!BW111</f>
        <v>9011.5567847099974</v>
      </c>
      <c r="BF111" s="63"/>
      <c r="BG111" s="63"/>
      <c r="BH111" s="63"/>
      <c r="BI111" s="63"/>
      <c r="BJ111" s="63"/>
      <c r="BK111" s="63"/>
      <c r="BL111" s="63"/>
      <c r="BM111" s="63"/>
      <c r="BN111" s="63"/>
      <c r="BO111" s="63"/>
      <c r="BP111" s="63"/>
      <c r="BQ111" s="63"/>
    </row>
    <row r="112" spans="1:69" x14ac:dyDescent="0.25">
      <c r="A112" t="str">
        <f>'Local multi year dist'!S112</f>
        <v>Rockbridge County</v>
      </c>
      <c r="B112" s="63">
        <f>'Local multi year dist'!T112</f>
        <v>9555.9221429244099</v>
      </c>
      <c r="C112" s="63">
        <f>'Local multi year dist'!U112</f>
        <v>60494.196953254082</v>
      </c>
      <c r="D112" s="63">
        <f>'Local multi year dist'!V112</f>
        <v>74604.824088423979</v>
      </c>
      <c r="E112" s="63">
        <f>'Local multi year dist'!W112</f>
        <v>28610.784877668604</v>
      </c>
      <c r="F112" s="63">
        <f>'Local multi year dist'!X112</f>
        <v>30744.137283099368</v>
      </c>
      <c r="G112" s="63">
        <f>'Local multi year dist'!Y112</f>
        <v>32673.682352789565</v>
      </c>
      <c r="H112" s="63">
        <f>'Local multi year dist'!Z112</f>
        <v>24892.854055370619</v>
      </c>
      <c r="I112" s="63">
        <f>'Local multi year dist'!AA112</f>
        <v>34887.516289339022</v>
      </c>
      <c r="J112" s="63">
        <f>'Local multi year dist'!AB112</f>
        <v>35046.252238348286</v>
      </c>
      <c r="K112" s="63">
        <f>'Local multi year dist'!AC112</f>
        <v>32813.557852187805</v>
      </c>
      <c r="L112" s="63">
        <f>'Local multi year dist'!AD112</f>
        <v>30451.182600457396</v>
      </c>
      <c r="M112" s="63">
        <f>'Local multi year dist'!AE112</f>
        <v>27994.53423050492</v>
      </c>
      <c r="N112" s="63">
        <f>'Local multi year dist'!AF112</f>
        <v>21363.921084755282</v>
      </c>
      <c r="O112" s="63">
        <f>'Local multi year dist'!AG112</f>
        <v>21363.921084755282</v>
      </c>
      <c r="P112" s="63">
        <f>'Local multi year dist'!AH112</f>
        <v>21363.921084755282</v>
      </c>
      <c r="Q112" s="63">
        <f>'Local multi year dist'!AI112</f>
        <v>17750.318166885201</v>
      </c>
      <c r="R112" s="63">
        <f>'Local multi year dist'!AJ112</f>
        <v>17750.318166885201</v>
      </c>
      <c r="S112" s="63">
        <f>'Local multi year dist'!AK112</f>
        <v>12427.302133543055</v>
      </c>
      <c r="T112" s="63"/>
      <c r="U112" s="63">
        <f>'Local multi year dist'!AM112</f>
        <v>0</v>
      </c>
      <c r="V112" s="63">
        <f>'Local multi year dist'!AN112</f>
        <v>21889.975434554359</v>
      </c>
      <c r="W112" s="63">
        <f>'Local multi year dist'!AO112</f>
        <v>25338.772720626846</v>
      </c>
      <c r="X112" s="63">
        <f>'Local multi year dist'!AP112</f>
        <v>9867.2774727403321</v>
      </c>
      <c r="Y112" s="63">
        <f>'Local multi year dist'!AQ112</f>
        <v>10825.960956180959</v>
      </c>
      <c r="Z112" s="63">
        <f>'Local multi year dist'!AR112</f>
        <v>11533.460815067365</v>
      </c>
      <c r="AA112" s="63">
        <f>'Local multi year dist'!AS112</f>
        <v>8680.4904393470842</v>
      </c>
      <c r="AB112" s="63">
        <f>'Local multi year dist'!AT112</f>
        <v>12345.199925135501</v>
      </c>
      <c r="AC112" s="63">
        <f>'Local multi year dist'!AU112</f>
        <v>12419.293464322474</v>
      </c>
      <c r="AD112" s="63">
        <f>'Local multi year dist'!AV112</f>
        <v>11550.181987553282</v>
      </c>
      <c r="AE112" s="63">
        <f>'Local multi year dist'!AW112</f>
        <v>10684.22991618734</v>
      </c>
      <c r="AF112" s="63">
        <f>'Local multi year dist'!AX112</f>
        <v>9783.4588472047635</v>
      </c>
      <c r="AG112" s="63">
        <f>'Local multi year dist'!AY112</f>
        <v>7638.260476521059</v>
      </c>
      <c r="AH112" s="63">
        <f>'Local multi year dist'!AZ112</f>
        <v>7638.260476521059</v>
      </c>
      <c r="AI112" s="63">
        <f>'Local multi year dist'!BA112</f>
        <v>7638.260476521059</v>
      </c>
      <c r="AJ112" s="63">
        <f>'Local multi year dist'!BB112</f>
        <v>6313.2727399686955</v>
      </c>
      <c r="AK112" s="63">
        <f>'Local multi year dist'!BC112</f>
        <v>6313.2727399686955</v>
      </c>
      <c r="AL112" s="63">
        <f>'Local multi year dist'!BD112</f>
        <v>4556.6774489657864</v>
      </c>
      <c r="AN112" s="63">
        <f>'Local multi year dist'!BF112</f>
        <v>0</v>
      </c>
      <c r="AO112" s="63">
        <f>'Local multi year dist'!BG112</f>
        <v>5472.4938586385897</v>
      </c>
      <c r="AP112" s="63">
        <f>'Local multi year dist'!BH112</f>
        <v>6334.6931801567116</v>
      </c>
      <c r="AQ112" s="63">
        <f>'Local multi year dist'!BI112</f>
        <v>2466.819368185083</v>
      </c>
      <c r="AR112" s="63">
        <f>'Local multi year dist'!BJ112</f>
        <v>2706.4902390452398</v>
      </c>
      <c r="AS112" s="63">
        <f>'Local multi year dist'!BK112</f>
        <v>2883.3652037668412</v>
      </c>
      <c r="AT112" s="63">
        <f>'Local multi year dist'!BL112</f>
        <v>2170.1226098367711</v>
      </c>
      <c r="AU112" s="63">
        <f>'Local multi year dist'!BM112</f>
        <v>3086.2999812838752</v>
      </c>
      <c r="AV112" s="63">
        <f>'Local multi year dist'!BN112</f>
        <v>3104.8233660806186</v>
      </c>
      <c r="AW112" s="63">
        <f>'Local multi year dist'!BO112</f>
        <v>2887.5454968883205</v>
      </c>
      <c r="AX112" s="63">
        <f>'Local multi year dist'!BP112</f>
        <v>2671.0574790468349</v>
      </c>
      <c r="AY112" s="63">
        <f>'Local multi year dist'!BQ112</f>
        <v>2445.8647118011909</v>
      </c>
      <c r="AZ112" s="63">
        <f>'Local multi year dist'!BR112</f>
        <v>1909.5651191302647</v>
      </c>
      <c r="BA112" s="63">
        <f>'Local multi year dist'!BS112</f>
        <v>1909.5651191302647</v>
      </c>
      <c r="BB112" s="63">
        <f>'Local multi year dist'!BT112</f>
        <v>1909.5651191302647</v>
      </c>
      <c r="BC112" s="63">
        <f>'Local multi year dist'!BU112</f>
        <v>1578.3181849921739</v>
      </c>
      <c r="BD112" s="63">
        <f>'Local multi year dist'!BV112</f>
        <v>1578.3181849921739</v>
      </c>
      <c r="BE112" s="63">
        <f>'Local multi year dist'!BW112</f>
        <v>1139.1693622414466</v>
      </c>
      <c r="BF112" s="63"/>
      <c r="BG112" s="63"/>
      <c r="BH112" s="63"/>
      <c r="BI112" s="63"/>
      <c r="BJ112" s="63"/>
      <c r="BK112" s="63"/>
      <c r="BL112" s="63"/>
      <c r="BM112" s="63"/>
      <c r="BN112" s="63"/>
      <c r="BO112" s="63"/>
      <c r="BP112" s="63"/>
      <c r="BQ112" s="63"/>
    </row>
    <row r="113" spans="1:69" x14ac:dyDescent="0.25">
      <c r="A113" t="str">
        <f>'Local multi year dist'!S113</f>
        <v>Rockingham County</v>
      </c>
      <c r="B113" s="63">
        <f>'Local multi year dist'!T113</f>
        <v>24967.388067045096</v>
      </c>
      <c r="C113" s="63">
        <f>'Local multi year dist'!U113</f>
        <v>158057.178422545</v>
      </c>
      <c r="D113" s="63">
        <f>'Local multi year dist'!V113</f>
        <v>194924.94463954217</v>
      </c>
      <c r="E113" s="63">
        <f>'Local multi year dist'!W113</f>
        <v>74753.284744206612</v>
      </c>
      <c r="F113" s="63">
        <f>'Local multi year dist'!X113</f>
        <v>80327.235284353388</v>
      </c>
      <c r="G113" s="63">
        <f>'Local multi year dist'!Y113</f>
        <v>85368.684955799268</v>
      </c>
      <c r="H113" s="63">
        <f>'Local multi year dist'!Z113</f>
        <v>65039.201659564198</v>
      </c>
      <c r="I113" s="63">
        <f>'Local multi year dist'!AA113</f>
        <v>91152.914900656164</v>
      </c>
      <c r="J113" s="63">
        <f>'Local multi year dist'!AB113</f>
        <v>91567.654784450569</v>
      </c>
      <c r="K113" s="63">
        <f>'Local multi year dist'!AC113</f>
        <v>85734.146898907871</v>
      </c>
      <c r="L113" s="63">
        <f>'Local multi year dist'!AD113</f>
        <v>79561.813262471798</v>
      </c>
      <c r="M113" s="63">
        <f>'Local multi year dist'!AE113</f>
        <v>73143.166032042762</v>
      </c>
      <c r="N113" s="63">
        <f>'Local multi year dist'!AF113</f>
        <v>55818.925727828799</v>
      </c>
      <c r="O113" s="63">
        <f>'Local multi year dist'!AG113</f>
        <v>55818.925727828799</v>
      </c>
      <c r="P113" s="63">
        <f>'Local multi year dist'!AH113</f>
        <v>55818.925727828799</v>
      </c>
      <c r="Q113" s="63">
        <f>'Local multi year dist'!AI113</f>
        <v>46377.427040287366</v>
      </c>
      <c r="R113" s="63">
        <f>'Local multi year dist'!AJ113</f>
        <v>46377.427040287366</v>
      </c>
      <c r="S113" s="63">
        <f>'Local multi year dist'!AK113</f>
        <v>32469.631957427446</v>
      </c>
      <c r="T113" s="63"/>
      <c r="U113" s="63">
        <f>'Local multi year dist'!AM113</f>
        <v>0</v>
      </c>
      <c r="V113" s="63">
        <f>'Local multi year dist'!AN113</f>
        <v>57193.382624750637</v>
      </c>
      <c r="W113" s="63">
        <f>'Local multi year dist'!AO113</f>
        <v>66204.282767935802</v>
      </c>
      <c r="X113" s="63">
        <f>'Local multi year dist'!AP113</f>
        <v>25780.886673457764</v>
      </c>
      <c r="Y113" s="63">
        <f>'Local multi year dist'!AQ113</f>
        <v>28285.702242957959</v>
      </c>
      <c r="Z113" s="63">
        <f>'Local multi year dist'!AR113</f>
        <v>30134.233789154787</v>
      </c>
      <c r="AA113" s="63">
        <f>'Local multi year dist'!AS113</f>
        <v>22680.089913868589</v>
      </c>
      <c r="AB113" s="63">
        <f>'Local multi year dist'!AT113</f>
        <v>32255.118102268982</v>
      </c>
      <c r="AC113" s="63">
        <f>'Local multi year dist'!AU113</f>
        <v>32448.707179123459</v>
      </c>
      <c r="AD113" s="63">
        <f>'Local multi year dist'!AV113</f>
        <v>30177.922299394584</v>
      </c>
      <c r="AE113" s="63">
        <f>'Local multi year dist'!AW113</f>
        <v>27915.392206549099</v>
      </c>
      <c r="AF113" s="63">
        <f>'Local multi year dist'!AX113</f>
        <v>25561.888222058449</v>
      </c>
      <c r="AG113" s="63">
        <f>'Local multi year dist'!AY113</f>
        <v>19956.986947165697</v>
      </c>
      <c r="AH113" s="63">
        <f>'Local multi year dist'!AZ113</f>
        <v>19956.986947165697</v>
      </c>
      <c r="AI113" s="63">
        <f>'Local multi year dist'!BA113</f>
        <v>19956.986947165697</v>
      </c>
      <c r="AJ113" s="63">
        <f>'Local multi year dist'!BB113</f>
        <v>16495.104095067174</v>
      </c>
      <c r="AK113" s="63">
        <f>'Local multi year dist'!BC113</f>
        <v>16495.104095067174</v>
      </c>
      <c r="AL113" s="63">
        <f>'Local multi year dist'!BD113</f>
        <v>11905.531717723396</v>
      </c>
      <c r="AN113" s="63">
        <f>'Local multi year dist'!BF113</f>
        <v>0</v>
      </c>
      <c r="AO113" s="63">
        <f>'Local multi year dist'!BG113</f>
        <v>14298.345656187659</v>
      </c>
      <c r="AP113" s="63">
        <f>'Local multi year dist'!BH113</f>
        <v>16551.07069198395</v>
      </c>
      <c r="AQ113" s="63">
        <f>'Local multi year dist'!BI113</f>
        <v>6445.221668364441</v>
      </c>
      <c r="AR113" s="63">
        <f>'Local multi year dist'!BJ113</f>
        <v>7071.4255607394898</v>
      </c>
      <c r="AS113" s="63">
        <f>'Local multi year dist'!BK113</f>
        <v>7533.5584472886967</v>
      </c>
      <c r="AT113" s="63">
        <f>'Local multi year dist'!BL113</f>
        <v>5670.0224784671473</v>
      </c>
      <c r="AU113" s="63">
        <f>'Local multi year dist'!BM113</f>
        <v>8063.7795255672454</v>
      </c>
      <c r="AV113" s="63">
        <f>'Local multi year dist'!BN113</f>
        <v>8112.1767947808648</v>
      </c>
      <c r="AW113" s="63">
        <f>'Local multi year dist'!BO113</f>
        <v>7544.480574848646</v>
      </c>
      <c r="AX113" s="63">
        <f>'Local multi year dist'!BP113</f>
        <v>6978.8480516372747</v>
      </c>
      <c r="AY113" s="63">
        <f>'Local multi year dist'!BQ113</f>
        <v>6390.4720555146123</v>
      </c>
      <c r="AZ113" s="63">
        <f>'Local multi year dist'!BR113</f>
        <v>4989.2467367914242</v>
      </c>
      <c r="BA113" s="63">
        <f>'Local multi year dist'!BS113</f>
        <v>4989.2467367914242</v>
      </c>
      <c r="BB113" s="63">
        <f>'Local multi year dist'!BT113</f>
        <v>4989.2467367914242</v>
      </c>
      <c r="BC113" s="63">
        <f>'Local multi year dist'!BU113</f>
        <v>4123.7760237667935</v>
      </c>
      <c r="BD113" s="63">
        <f>'Local multi year dist'!BV113</f>
        <v>4123.7760237667935</v>
      </c>
      <c r="BE113" s="63">
        <f>'Local multi year dist'!BW113</f>
        <v>2976.3829294308489</v>
      </c>
      <c r="BF113" s="63"/>
      <c r="BG113" s="63"/>
      <c r="BH113" s="63"/>
      <c r="BI113" s="63"/>
      <c r="BJ113" s="63"/>
      <c r="BK113" s="63"/>
      <c r="BL113" s="63"/>
      <c r="BM113" s="63"/>
      <c r="BN113" s="63"/>
      <c r="BO113" s="63"/>
      <c r="BP113" s="63"/>
      <c r="BQ113" s="63"/>
    </row>
    <row r="114" spans="1:69" x14ac:dyDescent="0.25">
      <c r="A114" t="str">
        <f>'Local multi year dist'!S114</f>
        <v>Russell County</v>
      </c>
      <c r="B114" s="63">
        <f>'Local multi year dist'!T114</f>
        <v>43265.962383283288</v>
      </c>
      <c r="C114" s="63">
        <f>'Local multi year dist'!U114</f>
        <v>273897.13003515895</v>
      </c>
      <c r="D114" s="63">
        <f>'Local multi year dist'!V114</f>
        <v>337785.24608546012</v>
      </c>
      <c r="E114" s="63">
        <f>'Local multi year dist'!W114</f>
        <v>129539.89408442297</v>
      </c>
      <c r="F114" s="63">
        <f>'Local multi year dist'!X114</f>
        <v>139198.98752858609</v>
      </c>
      <c r="G114" s="63">
        <f>'Local multi year dist'!Y114</f>
        <v>147935.31073773658</v>
      </c>
      <c r="H114" s="63">
        <f>'Local multi year dist'!Z114</f>
        <v>112706.36899963548</v>
      </c>
      <c r="I114" s="63">
        <f>'Local multi year dist'!AA114</f>
        <v>157958.79715683713</v>
      </c>
      <c r="J114" s="63">
        <f>'Local multi year dist'!AB114</f>
        <v>158677.49949618118</v>
      </c>
      <c r="K114" s="63">
        <f>'Local multi year dist'!AC114</f>
        <v>148568.61938182055</v>
      </c>
      <c r="L114" s="63">
        <f>'Local multi year dist'!AD114</f>
        <v>137872.58845483689</v>
      </c>
      <c r="M114" s="63">
        <f>'Local multi year dist'!AE114</f>
        <v>126749.72094152015</v>
      </c>
      <c r="N114" s="63">
        <f>'Local multi year dist'!AF114</f>
        <v>96728.561847572855</v>
      </c>
      <c r="O114" s="63">
        <f>'Local multi year dist'!AG114</f>
        <v>96728.561847572855</v>
      </c>
      <c r="P114" s="63">
        <f>'Local multi year dist'!AH114</f>
        <v>96728.561847572855</v>
      </c>
      <c r="Q114" s="63">
        <f>'Local multi year dist'!AI114</f>
        <v>80367.397998152563</v>
      </c>
      <c r="R114" s="63">
        <f>'Local multi year dist'!AJ114</f>
        <v>80367.397998152563</v>
      </c>
      <c r="S114" s="63">
        <f>'Local multi year dist'!AK114</f>
        <v>56266.593489743878</v>
      </c>
      <c r="T114" s="63"/>
      <c r="U114" s="63">
        <f>'Local multi year dist'!AM114</f>
        <v>0</v>
      </c>
      <c r="V114" s="63">
        <f>'Local multi year dist'!AN114</f>
        <v>99110.356861131222</v>
      </c>
      <c r="W114" s="63">
        <f>'Local multi year dist'!AO114</f>
        <v>114725.33691381688</v>
      </c>
      <c r="X114" s="63">
        <f>'Local multi year dist'!AP114</f>
        <v>44675.673323386014</v>
      </c>
      <c r="Y114" s="63">
        <f>'Local multi year dist'!AQ114</f>
        <v>49016.265776070388</v>
      </c>
      <c r="Z114" s="63">
        <f>'Local multi year dist'!AR114</f>
        <v>52219.584286092242</v>
      </c>
      <c r="AA114" s="63">
        <f>'Local multi year dist'!AS114</f>
        <v>39302.305648788497</v>
      </c>
      <c r="AB114" s="63">
        <f>'Local multi year dist'!AT114</f>
        <v>55894.862639762439</v>
      </c>
      <c r="AC114" s="63">
        <f>'Local multi year dist'!AU114</f>
        <v>56230.332961868568</v>
      </c>
      <c r="AD114" s="63">
        <f>'Local multi year dist'!AV114</f>
        <v>52295.292062794433</v>
      </c>
      <c r="AE114" s="63">
        <f>'Local multi year dist'!AW114</f>
        <v>48374.555875843958</v>
      </c>
      <c r="AF114" s="63">
        <f>'Local multi year dist'!AX114</f>
        <v>44296.171120961146</v>
      </c>
      <c r="AG114" s="63">
        <f>'Local multi year dist'!AY114</f>
        <v>34583.443178801732</v>
      </c>
      <c r="AH114" s="63">
        <f>'Local multi year dist'!AZ114</f>
        <v>34583.443178801732</v>
      </c>
      <c r="AI114" s="63">
        <f>'Local multi year dist'!BA114</f>
        <v>34583.443178801732</v>
      </c>
      <c r="AJ114" s="63">
        <f>'Local multi year dist'!BB114</f>
        <v>28584.349767347627</v>
      </c>
      <c r="AK114" s="63">
        <f>'Local multi year dist'!BC114</f>
        <v>28584.349767347627</v>
      </c>
      <c r="AL114" s="63">
        <f>'Local multi year dist'!BD114</f>
        <v>20631.084279572755</v>
      </c>
      <c r="AN114" s="63">
        <f>'Local multi year dist'!BF114</f>
        <v>0</v>
      </c>
      <c r="AO114" s="63">
        <f>'Local multi year dist'!BG114</f>
        <v>24777.589215282806</v>
      </c>
      <c r="AP114" s="63">
        <f>'Local multi year dist'!BH114</f>
        <v>28681.33422845422</v>
      </c>
      <c r="AQ114" s="63">
        <f>'Local multi year dist'!BI114</f>
        <v>11168.918330846504</v>
      </c>
      <c r="AR114" s="63">
        <f>'Local multi year dist'!BJ114</f>
        <v>12254.066444017597</v>
      </c>
      <c r="AS114" s="63">
        <f>'Local multi year dist'!BK114</f>
        <v>13054.896071523061</v>
      </c>
      <c r="AT114" s="63">
        <f>'Local multi year dist'!BL114</f>
        <v>9825.5764121971242</v>
      </c>
      <c r="AU114" s="63">
        <f>'Local multi year dist'!BM114</f>
        <v>13973.71565994061</v>
      </c>
      <c r="AV114" s="63">
        <f>'Local multi year dist'!BN114</f>
        <v>14057.583240467142</v>
      </c>
      <c r="AW114" s="63">
        <f>'Local multi year dist'!BO114</f>
        <v>13073.823015698608</v>
      </c>
      <c r="AX114" s="63">
        <f>'Local multi year dist'!BP114</f>
        <v>12093.63896896099</v>
      </c>
      <c r="AY114" s="63">
        <f>'Local multi year dist'!BQ114</f>
        <v>11074.042780240286</v>
      </c>
      <c r="AZ114" s="63">
        <f>'Local multi year dist'!BR114</f>
        <v>8645.860794700433</v>
      </c>
      <c r="BA114" s="63">
        <f>'Local multi year dist'!BS114</f>
        <v>8645.860794700433</v>
      </c>
      <c r="BB114" s="63">
        <f>'Local multi year dist'!BT114</f>
        <v>8645.860794700433</v>
      </c>
      <c r="BC114" s="63">
        <f>'Local multi year dist'!BU114</f>
        <v>7146.0874418369067</v>
      </c>
      <c r="BD114" s="63">
        <f>'Local multi year dist'!BV114</f>
        <v>7146.0874418369067</v>
      </c>
      <c r="BE114" s="63">
        <f>'Local multi year dist'!BW114</f>
        <v>5157.7710698931887</v>
      </c>
      <c r="BF114" s="63"/>
      <c r="BG114" s="63"/>
      <c r="BH114" s="63"/>
      <c r="BI114" s="63"/>
      <c r="BJ114" s="63"/>
      <c r="BK114" s="63"/>
      <c r="BL114" s="63"/>
      <c r="BM114" s="63"/>
      <c r="BN114" s="63"/>
      <c r="BO114" s="63"/>
      <c r="BP114" s="63"/>
      <c r="BQ114" s="63"/>
    </row>
    <row r="115" spans="1:69" x14ac:dyDescent="0.25">
      <c r="A115" t="str">
        <f>'Local multi year dist'!S115</f>
        <v>Salem City</v>
      </c>
      <c r="B115" s="63">
        <f>'Local multi year dist'!T115</f>
        <v>31961.509805696158</v>
      </c>
      <c r="C115" s="63">
        <f>'Local multi year dist'!U115</f>
        <v>202333.7821500331</v>
      </c>
      <c r="D115" s="63">
        <f>'Local multi year dist'!V115</f>
        <v>249529.32652553762</v>
      </c>
      <c r="E115" s="63">
        <f>'Local multi year dist'!W115</f>
        <v>95693.944314244916</v>
      </c>
      <c r="F115" s="63">
        <f>'Local multi year dist'!X115</f>
        <v>102829.32725326015</v>
      </c>
      <c r="G115" s="63">
        <f>'Local multi year dist'!Y115</f>
        <v>109283.03969911759</v>
      </c>
      <c r="H115" s="63">
        <f>'Local multi year dist'!Z115</f>
        <v>83258.652287324832</v>
      </c>
      <c r="I115" s="63">
        <f>'Local multi year dist'!AA115</f>
        <v>116687.60767412985</v>
      </c>
      <c r="J115" s="63">
        <f>'Local multi year dist'!AB115</f>
        <v>117218.52876315656</v>
      </c>
      <c r="K115" s="63">
        <f>'Local multi year dist'!AC115</f>
        <v>109750.87860348789</v>
      </c>
      <c r="L115" s="63">
        <f>'Local multi year dist'!AD115</f>
        <v>101849.48733599807</v>
      </c>
      <c r="M115" s="63">
        <f>'Local multi year dist'!AE115</f>
        <v>93632.782575220845</v>
      </c>
      <c r="N115" s="63">
        <f>'Local multi year dist'!AF115</f>
        <v>71455.497755819903</v>
      </c>
      <c r="O115" s="63">
        <f>'Local multi year dist'!AG115</f>
        <v>71455.497755819903</v>
      </c>
      <c r="P115" s="63">
        <f>'Local multi year dist'!AH115</f>
        <v>71455.497755819903</v>
      </c>
      <c r="Q115" s="63">
        <f>'Local multi year dist'!AI115</f>
        <v>59369.149273071438</v>
      </c>
      <c r="R115" s="63">
        <f>'Local multi year dist'!AJ115</f>
        <v>59369.149273071438</v>
      </c>
      <c r="S115" s="63">
        <f>'Local multi year dist'!AK115</f>
        <v>41565.359476446196</v>
      </c>
      <c r="T115" s="63"/>
      <c r="U115" s="63">
        <f>'Local multi year dist'!AM115</f>
        <v>0</v>
      </c>
      <c r="V115" s="63">
        <f>'Local multi year dist'!AN115</f>
        <v>73214.981666211708</v>
      </c>
      <c r="W115" s="63">
        <f>'Local multi year dist'!AO115</f>
        <v>84750.107908139282</v>
      </c>
      <c r="X115" s="63">
        <f>'Local multi year dist'!AP115</f>
        <v>33002.894015208141</v>
      </c>
      <c r="Y115" s="63">
        <f>'Local multi year dist'!AQ115</f>
        <v>36209.384304503175</v>
      </c>
      <c r="Z115" s="63">
        <f>'Local multi year dist'!AR115</f>
        <v>38575.745534650901</v>
      </c>
      <c r="AA115" s="63">
        <f>'Local multi year dist'!AS115</f>
        <v>29033.470150326884</v>
      </c>
      <c r="AB115" s="63">
        <f>'Local multi year dist'!AT115</f>
        <v>41290.753792155396</v>
      </c>
      <c r="AC115" s="63">
        <f>'Local multi year dist'!AU115</f>
        <v>41538.573033861612</v>
      </c>
      <c r="AD115" s="63">
        <f>'Local multi year dist'!AV115</f>
        <v>38631.672520071879</v>
      </c>
      <c r="AE115" s="63">
        <f>'Local multi year dist'!AW115</f>
        <v>35735.339209035155</v>
      </c>
      <c r="AF115" s="63">
        <f>'Local multi year dist'!AX115</f>
        <v>32722.547463416831</v>
      </c>
      <c r="AG115" s="63">
        <f>'Local multi year dist'!AY115</f>
        <v>25547.543551257706</v>
      </c>
      <c r="AH115" s="63">
        <f>'Local multi year dist'!AZ115</f>
        <v>25547.543551257706</v>
      </c>
      <c r="AI115" s="63">
        <f>'Local multi year dist'!BA115</f>
        <v>25547.543551257706</v>
      </c>
      <c r="AJ115" s="63">
        <f>'Local multi year dist'!BB115</f>
        <v>21115.882440916601</v>
      </c>
      <c r="AK115" s="63">
        <f>'Local multi year dist'!BC115</f>
        <v>21115.882440916601</v>
      </c>
      <c r="AL115" s="63">
        <f>'Local multi year dist'!BD115</f>
        <v>15240.63180803027</v>
      </c>
      <c r="AN115" s="63">
        <f>'Local multi year dist'!BF115</f>
        <v>0</v>
      </c>
      <c r="AO115" s="63">
        <f>'Local multi year dist'!BG115</f>
        <v>18303.745416552927</v>
      </c>
      <c r="AP115" s="63">
        <f>'Local multi year dist'!BH115</f>
        <v>21187.52697703482</v>
      </c>
      <c r="AQ115" s="63">
        <f>'Local multi year dist'!BI115</f>
        <v>8250.7235038020353</v>
      </c>
      <c r="AR115" s="63">
        <f>'Local multi year dist'!BJ115</f>
        <v>9052.3460761257938</v>
      </c>
      <c r="AS115" s="63">
        <f>'Local multi year dist'!BK115</f>
        <v>9643.9363836627253</v>
      </c>
      <c r="AT115" s="63">
        <f>'Local multi year dist'!BL115</f>
        <v>7258.3675375817211</v>
      </c>
      <c r="AU115" s="63">
        <f>'Local multi year dist'!BM115</f>
        <v>10322.688448038849</v>
      </c>
      <c r="AV115" s="63">
        <f>'Local multi year dist'!BN115</f>
        <v>10384.643258465403</v>
      </c>
      <c r="AW115" s="63">
        <f>'Local multi year dist'!BO115</f>
        <v>9657.9181300179698</v>
      </c>
      <c r="AX115" s="63">
        <f>'Local multi year dist'!BP115</f>
        <v>8933.8348022587888</v>
      </c>
      <c r="AY115" s="63">
        <f>'Local multi year dist'!BQ115</f>
        <v>8180.6368658542078</v>
      </c>
      <c r="AZ115" s="63">
        <f>'Local multi year dist'!BR115</f>
        <v>6386.8858878144265</v>
      </c>
      <c r="BA115" s="63">
        <f>'Local multi year dist'!BS115</f>
        <v>6386.8858878144265</v>
      </c>
      <c r="BB115" s="63">
        <f>'Local multi year dist'!BT115</f>
        <v>6386.8858878144265</v>
      </c>
      <c r="BC115" s="63">
        <f>'Local multi year dist'!BU115</f>
        <v>5278.9706102291502</v>
      </c>
      <c r="BD115" s="63">
        <f>'Local multi year dist'!BV115</f>
        <v>5278.9706102291502</v>
      </c>
      <c r="BE115" s="63">
        <f>'Local multi year dist'!BW115</f>
        <v>3810.1579520075675</v>
      </c>
      <c r="BF115" s="63"/>
      <c r="BG115" s="63"/>
      <c r="BH115" s="63"/>
      <c r="BI115" s="63"/>
      <c r="BJ115" s="63"/>
      <c r="BK115" s="63"/>
      <c r="BL115" s="63"/>
      <c r="BM115" s="63"/>
      <c r="BN115" s="63"/>
      <c r="BO115" s="63"/>
      <c r="BP115" s="63"/>
      <c r="BQ115" s="63"/>
    </row>
    <row r="116" spans="1:69" x14ac:dyDescent="0.25">
      <c r="A116" t="str">
        <f>'Local multi year dist'!S116</f>
        <v>Scott County</v>
      </c>
      <c r="B116" s="63">
        <f>'Local multi year dist'!T116</f>
        <v>17119.332860302882</v>
      </c>
      <c r="C116" s="63">
        <f>'Local multi year dist'!U116</f>
        <v>108374.71028646798</v>
      </c>
      <c r="D116" s="63">
        <f>'Local multi year dist'!V116</f>
        <v>133653.74868607023</v>
      </c>
      <c r="E116" s="63">
        <f>'Local multi year dist'!W116</f>
        <v>51255.916738291424</v>
      </c>
      <c r="F116" s="63">
        <f>'Local multi year dist'!X116</f>
        <v>55077.794877382279</v>
      </c>
      <c r="G116" s="63">
        <f>'Local multi year dist'!Y116</f>
        <v>58534.554342657058</v>
      </c>
      <c r="H116" s="63">
        <f>'Local multi year dist'!Z116</f>
        <v>44595.283222600134</v>
      </c>
      <c r="I116" s="63">
        <f>'Local multi year dist'!AA116</f>
        <v>62500.614288560559</v>
      </c>
      <c r="J116" s="63">
        <f>'Local multi year dist'!AB116</f>
        <v>62784.988052530345</v>
      </c>
      <c r="K116" s="63">
        <f>'Local multi year dist'!AC116</f>
        <v>58785.139811791785</v>
      </c>
      <c r="L116" s="63">
        <f>'Local multi year dist'!AD116</f>
        <v>54552.969679968366</v>
      </c>
      <c r="M116" s="63">
        <f>'Local multi year dist'!AE116</f>
        <v>50151.910259755627</v>
      </c>
      <c r="N116" s="63">
        <f>'Local multi year dist'!AF116</f>
        <v>38273.237347582872</v>
      </c>
      <c r="O116" s="63">
        <f>'Local multi year dist'!AG116</f>
        <v>38273.237347582872</v>
      </c>
      <c r="P116" s="63">
        <f>'Local multi year dist'!AH116</f>
        <v>38273.237347582872</v>
      </c>
      <c r="Q116" s="63">
        <f>'Local multi year dist'!AI116</f>
        <v>31799.506162802852</v>
      </c>
      <c r="R116" s="63">
        <f>'Local multi year dist'!AJ116</f>
        <v>31799.506162802852</v>
      </c>
      <c r="S116" s="63">
        <f>'Local multi year dist'!AK116</f>
        <v>22263.379566900541</v>
      </c>
      <c r="T116" s="63"/>
      <c r="U116" s="63">
        <f>'Local multi year dist'!AM116</f>
        <v>0</v>
      </c>
      <c r="V116" s="63">
        <f>'Local multi year dist'!AN116</f>
        <v>39215.65811892505</v>
      </c>
      <c r="W116" s="63">
        <f>'Local multi year dist'!AO116</f>
        <v>45394.141767591085</v>
      </c>
      <c r="X116" s="63">
        <f>'Local multi year dist'!AP116</f>
        <v>17677.122621377363</v>
      </c>
      <c r="Y116" s="63">
        <f>'Local multi year dist'!AQ116</f>
        <v>19394.593883200785</v>
      </c>
      <c r="Z116" s="63">
        <f>'Local multi year dist'!AR116</f>
        <v>20662.072353801537</v>
      </c>
      <c r="AA116" s="63">
        <f>'Local multi year dist'!AS116</f>
        <v>15551.00627644733</v>
      </c>
      <c r="AB116" s="63">
        <f>'Local multi year dist'!AT116</f>
        <v>22116.294333966154</v>
      </c>
      <c r="AC116" s="63">
        <f>'Local multi year dist'!AU116</f>
        <v>22249.032121190477</v>
      </c>
      <c r="AD116" s="63">
        <f>'Local multi year dist'!AV116</f>
        <v>20692.028156425244</v>
      </c>
      <c r="AE116" s="63">
        <f>'Local multi year dist'!AW116</f>
        <v>19140.684232829237</v>
      </c>
      <c r="AF116" s="63">
        <f>'Local multi year dist'!AX116</f>
        <v>17526.962445417899</v>
      </c>
      <c r="AG116" s="63">
        <f>'Local multi year dist'!AY116</f>
        <v>13683.862385597304</v>
      </c>
      <c r="AH116" s="63">
        <f>'Local multi year dist'!AZ116</f>
        <v>13683.862385597304</v>
      </c>
      <c r="AI116" s="63">
        <f>'Local multi year dist'!BA116</f>
        <v>13683.862385597304</v>
      </c>
      <c r="AJ116" s="63">
        <f>'Local multi year dist'!BB116</f>
        <v>11310.160951177962</v>
      </c>
      <c r="AK116" s="63">
        <f>'Local multi year dist'!BC116</f>
        <v>11310.160951177962</v>
      </c>
      <c r="AL116" s="63">
        <f>'Local multi year dist'!BD116</f>
        <v>8163.2391745301975</v>
      </c>
      <c r="AN116" s="63">
        <f>'Local multi year dist'!BF116</f>
        <v>0</v>
      </c>
      <c r="AO116" s="63">
        <f>'Local multi year dist'!BG116</f>
        <v>9803.9145297312625</v>
      </c>
      <c r="AP116" s="63">
        <f>'Local multi year dist'!BH116</f>
        <v>11348.535441897771</v>
      </c>
      <c r="AQ116" s="63">
        <f>'Local multi year dist'!BI116</f>
        <v>4419.2806553443406</v>
      </c>
      <c r="AR116" s="63">
        <f>'Local multi year dist'!BJ116</f>
        <v>4848.6484708001963</v>
      </c>
      <c r="AS116" s="63">
        <f>'Local multi year dist'!BK116</f>
        <v>5165.5180884503843</v>
      </c>
      <c r="AT116" s="63">
        <f>'Local multi year dist'!BL116</f>
        <v>3887.7515691118324</v>
      </c>
      <c r="AU116" s="63">
        <f>'Local multi year dist'!BM116</f>
        <v>5529.0735834915386</v>
      </c>
      <c r="AV116" s="63">
        <f>'Local multi year dist'!BN116</f>
        <v>5562.2580302976194</v>
      </c>
      <c r="AW116" s="63">
        <f>'Local multi year dist'!BO116</f>
        <v>5173.0070391063109</v>
      </c>
      <c r="AX116" s="63">
        <f>'Local multi year dist'!BP116</f>
        <v>4785.1710582073092</v>
      </c>
      <c r="AY116" s="63">
        <f>'Local multi year dist'!BQ116</f>
        <v>4381.7406113544748</v>
      </c>
      <c r="AZ116" s="63">
        <f>'Local multi year dist'!BR116</f>
        <v>3420.9655963993259</v>
      </c>
      <c r="BA116" s="63">
        <f>'Local multi year dist'!BS116</f>
        <v>3420.9655963993259</v>
      </c>
      <c r="BB116" s="63">
        <f>'Local multi year dist'!BT116</f>
        <v>3420.9655963993259</v>
      </c>
      <c r="BC116" s="63">
        <f>'Local multi year dist'!BU116</f>
        <v>2827.5402377944906</v>
      </c>
      <c r="BD116" s="63">
        <f>'Local multi year dist'!BV116</f>
        <v>2827.5402377944906</v>
      </c>
      <c r="BE116" s="63">
        <f>'Local multi year dist'!BW116</f>
        <v>2040.8097936325494</v>
      </c>
      <c r="BF116" s="63"/>
      <c r="BG116" s="63"/>
      <c r="BH116" s="63"/>
      <c r="BI116" s="63"/>
      <c r="BJ116" s="63"/>
      <c r="BK116" s="63"/>
      <c r="BL116" s="63"/>
      <c r="BM116" s="63"/>
      <c r="BN116" s="63"/>
      <c r="BO116" s="63"/>
      <c r="BP116" s="63"/>
      <c r="BQ116" s="63"/>
    </row>
    <row r="117" spans="1:69" x14ac:dyDescent="0.25">
      <c r="A117" t="str">
        <f>'Local multi year dist'!S117</f>
        <v>Shenandoah County</v>
      </c>
      <c r="B117" s="63">
        <f>'Local multi year dist'!T117</f>
        <v>26837.90899714945</v>
      </c>
      <c r="C117" s="63">
        <f>'Local multi year dist'!U117</f>
        <v>169898.5956985011</v>
      </c>
      <c r="D117" s="63">
        <f>'Local multi year dist'!V117</f>
        <v>209528.44212068047</v>
      </c>
      <c r="E117" s="63">
        <f>'Local multi year dist'!W117</f>
        <v>80353.693698984294</v>
      </c>
      <c r="F117" s="63">
        <f>'Local multi year dist'!X117</f>
        <v>86345.23662487496</v>
      </c>
      <c r="G117" s="63">
        <f>'Local multi year dist'!Y117</f>
        <v>91764.384480175097</v>
      </c>
      <c r="H117" s="63">
        <f>'Local multi year dist'!Z117</f>
        <v>69911.845432104834</v>
      </c>
      <c r="I117" s="63">
        <f>'Local multi year dist'!AA117</f>
        <v>97981.960642399121</v>
      </c>
      <c r="J117" s="63">
        <f>'Local multi year dist'!AB117</f>
        <v>98427.772243871936</v>
      </c>
      <c r="K117" s="63">
        <f>'Local multi year dist'!AC117</f>
        <v>92157.226308272293</v>
      </c>
      <c r="L117" s="63">
        <f>'Local multi year dist'!AD117</f>
        <v>85522.470282135808</v>
      </c>
      <c r="M117" s="63">
        <f>'Local multi year dist'!AE117</f>
        <v>78622.947200567127</v>
      </c>
      <c r="N117" s="63">
        <f>'Local multi year dist'!AF117</f>
        <v>60000.799642291531</v>
      </c>
      <c r="O117" s="63">
        <f>'Local multi year dist'!AG117</f>
        <v>60000.799642291531</v>
      </c>
      <c r="P117" s="63">
        <f>'Local multi year dist'!AH117</f>
        <v>60000.799642291531</v>
      </c>
      <c r="Q117" s="63">
        <f>'Local multi year dist'!AI117</f>
        <v>49851.95740486915</v>
      </c>
      <c r="R117" s="63">
        <f>'Local multi year dist'!AJ117</f>
        <v>49851.95740486915</v>
      </c>
      <c r="S117" s="63">
        <f>'Local multi year dist'!AK117</f>
        <v>34902.210247397576</v>
      </c>
      <c r="T117" s="63"/>
      <c r="U117" s="63">
        <f>'Local multi year dist'!AM117</f>
        <v>0</v>
      </c>
      <c r="V117" s="63">
        <f>'Local multi year dist'!AN117</f>
        <v>61478.228880025104</v>
      </c>
      <c r="W117" s="63">
        <f>'Local multi year dist'!AO117</f>
        <v>71164.212747292535</v>
      </c>
      <c r="X117" s="63">
        <f>'Local multi year dist'!AP117</f>
        <v>27712.353753228213</v>
      </c>
      <c r="Y117" s="63">
        <f>'Local multi year dist'!AQ117</f>
        <v>30404.826515231682</v>
      </c>
      <c r="Z117" s="63">
        <f>'Local multi year dist'!AR117</f>
        <v>32391.847395508397</v>
      </c>
      <c r="AA117" s="63">
        <f>'Local multi year dist'!AS117</f>
        <v>24379.249744549295</v>
      </c>
      <c r="AB117" s="63">
        <f>'Local multi year dist'!AT117</f>
        <v>34671.625321657208</v>
      </c>
      <c r="AC117" s="63">
        <f>'Local multi year dist'!AU117</f>
        <v>34879.717814692965</v>
      </c>
      <c r="AD117" s="63">
        <f>'Local multi year dist'!AV117</f>
        <v>32438.808986319906</v>
      </c>
      <c r="AE117" s="63">
        <f>'Local multi year dist'!AW117</f>
        <v>30006.773381632578</v>
      </c>
      <c r="AF117" s="63">
        <f>'Local multi year dist'!AX117</f>
        <v>27476.948251724061</v>
      </c>
      <c r="AG117" s="63">
        <f>'Local multi year dist'!AY117</f>
        <v>21452.135806399605</v>
      </c>
      <c r="AH117" s="63">
        <f>'Local multi year dist'!AZ117</f>
        <v>21452.135806399605</v>
      </c>
      <c r="AI117" s="63">
        <f>'Local multi year dist'!BA117</f>
        <v>21452.135806399605</v>
      </c>
      <c r="AJ117" s="63">
        <f>'Local multi year dist'!BB117</f>
        <v>17730.893652678067</v>
      </c>
      <c r="AK117" s="63">
        <f>'Local multi year dist'!BC117</f>
        <v>17730.893652678067</v>
      </c>
      <c r="AL117" s="63">
        <f>'Local multi year dist'!BD117</f>
        <v>12797.477090712444</v>
      </c>
      <c r="AN117" s="63">
        <f>'Local multi year dist'!BF117</f>
        <v>0</v>
      </c>
      <c r="AO117" s="63">
        <f>'Local multi year dist'!BG117</f>
        <v>15369.557220006276</v>
      </c>
      <c r="AP117" s="63">
        <f>'Local multi year dist'!BH117</f>
        <v>17791.053186823134</v>
      </c>
      <c r="AQ117" s="63">
        <f>'Local multi year dist'!BI117</f>
        <v>6928.0884383070534</v>
      </c>
      <c r="AR117" s="63">
        <f>'Local multi year dist'!BJ117</f>
        <v>7601.2066288079204</v>
      </c>
      <c r="AS117" s="63">
        <f>'Local multi year dist'!BK117</f>
        <v>8097.9618488770993</v>
      </c>
      <c r="AT117" s="63">
        <f>'Local multi year dist'!BL117</f>
        <v>6094.8124361373239</v>
      </c>
      <c r="AU117" s="63">
        <f>'Local multi year dist'!BM117</f>
        <v>8667.9063304143019</v>
      </c>
      <c r="AV117" s="63">
        <f>'Local multi year dist'!BN117</f>
        <v>8719.9294536732414</v>
      </c>
      <c r="AW117" s="63">
        <f>'Local multi year dist'!BO117</f>
        <v>8109.7022465799764</v>
      </c>
      <c r="AX117" s="63">
        <f>'Local multi year dist'!BP117</f>
        <v>7501.6933454081445</v>
      </c>
      <c r="AY117" s="63">
        <f>'Local multi year dist'!BQ117</f>
        <v>6869.2370629310153</v>
      </c>
      <c r="AZ117" s="63">
        <f>'Local multi year dist'!BR117</f>
        <v>5363.0339515999012</v>
      </c>
      <c r="BA117" s="63">
        <f>'Local multi year dist'!BS117</f>
        <v>5363.0339515999012</v>
      </c>
      <c r="BB117" s="63">
        <f>'Local multi year dist'!BT117</f>
        <v>5363.0339515999012</v>
      </c>
      <c r="BC117" s="63">
        <f>'Local multi year dist'!BU117</f>
        <v>4432.7234131695168</v>
      </c>
      <c r="BD117" s="63">
        <f>'Local multi year dist'!BV117</f>
        <v>4432.7234131695168</v>
      </c>
      <c r="BE117" s="63">
        <f>'Local multi year dist'!BW117</f>
        <v>3199.369272678111</v>
      </c>
      <c r="BF117" s="63"/>
      <c r="BG117" s="63"/>
      <c r="BH117" s="63"/>
      <c r="BI117" s="63"/>
      <c r="BJ117" s="63"/>
      <c r="BK117" s="63"/>
      <c r="BL117" s="63"/>
      <c r="BM117" s="63"/>
      <c r="BN117" s="63"/>
      <c r="BO117" s="63"/>
      <c r="BP117" s="63"/>
      <c r="BQ117" s="63"/>
    </row>
    <row r="118" spans="1:69" x14ac:dyDescent="0.25">
      <c r="A118" t="str">
        <f>'Local multi year dist'!S118</f>
        <v>Smyth County</v>
      </c>
      <c r="B118" s="63">
        <f>'Local multi year dist'!T118</f>
        <v>24072.791100473449</v>
      </c>
      <c r="C118" s="63">
        <f>'Local multi year dist'!U118</f>
        <v>152393.89189926162</v>
      </c>
      <c r="D118" s="63">
        <f>'Local multi year dist'!V118</f>
        <v>187940.66323551949</v>
      </c>
      <c r="E118" s="63">
        <f>'Local multi year dist'!W118</f>
        <v>72074.828287573808</v>
      </c>
      <c r="F118" s="63">
        <f>'Local multi year dist'!X118</f>
        <v>77449.060730190889</v>
      </c>
      <c r="G118" s="63">
        <f>'Local multi year dist'!Y118</f>
        <v>82309.872139793428</v>
      </c>
      <c r="H118" s="63">
        <f>'Local multi year dist'!Z118</f>
        <v>62708.806811827373</v>
      </c>
      <c r="I118" s="63">
        <f>'Local multi year dist'!AA118</f>
        <v>87886.849545909528</v>
      </c>
      <c r="J118" s="63">
        <f>'Local multi year dist'!AB118</f>
        <v>88286.729042988183</v>
      </c>
      <c r="K118" s="63">
        <f>'Local multi year dist'!AC118</f>
        <v>82662.239355298792</v>
      </c>
      <c r="L118" s="63">
        <f>'Local multi year dist'!AD118</f>
        <v>76711.064253067278</v>
      </c>
      <c r="M118" s="63">
        <f>'Local multi year dist'!AE118</f>
        <v>70522.401125357195</v>
      </c>
      <c r="N118" s="63">
        <f>'Local multi year dist'!AF118</f>
        <v>53818.899073085748</v>
      </c>
      <c r="O118" s="63">
        <f>'Local multi year dist'!AG118</f>
        <v>53818.899073085748</v>
      </c>
      <c r="P118" s="63">
        <f>'Local multi year dist'!AH118</f>
        <v>53818.899073085748</v>
      </c>
      <c r="Q118" s="63">
        <f>'Local multi year dist'!AI118</f>
        <v>44715.695126791732</v>
      </c>
      <c r="R118" s="63">
        <f>'Local multi year dist'!AJ118</f>
        <v>44715.695126791732</v>
      </c>
      <c r="S118" s="63">
        <f>'Local multi year dist'!AK118</f>
        <v>31306.224949180862</v>
      </c>
      <c r="T118" s="63"/>
      <c r="U118" s="63">
        <f>'Local multi year dist'!AM118</f>
        <v>0</v>
      </c>
      <c r="V118" s="63">
        <f>'Local multi year dist'!AN118</f>
        <v>55144.108328749804</v>
      </c>
      <c r="W118" s="63">
        <f>'Local multi year dist'!AO118</f>
        <v>63832.142343026047</v>
      </c>
      <c r="X118" s="63">
        <f>'Local multi year dist'!AP118</f>
        <v>24857.141548350159</v>
      </c>
      <c r="Y118" s="63">
        <f>'Local multi year dist'!AQ118</f>
        <v>27272.208025783573</v>
      </c>
      <c r="Z118" s="63">
        <f>'Local multi year dist'!AR118</f>
        <v>29054.505542637839</v>
      </c>
      <c r="AA118" s="63">
        <f>'Local multi year dist'!AS118</f>
        <v>21867.448255716947</v>
      </c>
      <c r="AB118" s="63">
        <f>'Local multi year dist'!AT118</f>
        <v>31099.397258213739</v>
      </c>
      <c r="AC118" s="63">
        <f>'Local multi year dist'!AU118</f>
        <v>31286.049918633693</v>
      </c>
      <c r="AD118" s="63">
        <f>'Local multi year dist'!AV118</f>
        <v>29096.628666517256</v>
      </c>
      <c r="AE118" s="63">
        <f>'Local multi year dist'!AW118</f>
        <v>26915.166427161348</v>
      </c>
      <c r="AF118" s="63">
        <f>'Local multi year dist'!AX118</f>
        <v>24645.98994700098</v>
      </c>
      <c r="AG118" s="63">
        <f>'Local multi year dist'!AY118</f>
        <v>19241.915753619043</v>
      </c>
      <c r="AH118" s="63">
        <f>'Local multi year dist'!AZ118</f>
        <v>19241.915753619043</v>
      </c>
      <c r="AI118" s="63">
        <f>'Local multi year dist'!BA118</f>
        <v>19241.915753619043</v>
      </c>
      <c r="AJ118" s="63">
        <f>'Local multi year dist'!BB118</f>
        <v>15904.074306644572</v>
      </c>
      <c r="AK118" s="63">
        <f>'Local multi year dist'!BC118</f>
        <v>15904.074306644572</v>
      </c>
      <c r="AL118" s="63">
        <f>'Local multi year dist'!BD118</f>
        <v>11478.949148032982</v>
      </c>
      <c r="AN118" s="63">
        <f>'Local multi year dist'!BF118</f>
        <v>0</v>
      </c>
      <c r="AO118" s="63">
        <f>'Local multi year dist'!BG118</f>
        <v>13786.027082187451</v>
      </c>
      <c r="AP118" s="63">
        <f>'Local multi year dist'!BH118</f>
        <v>15958.035585756512</v>
      </c>
      <c r="AQ118" s="63">
        <f>'Local multi year dist'!BI118</f>
        <v>6214.2853870875397</v>
      </c>
      <c r="AR118" s="63">
        <f>'Local multi year dist'!BJ118</f>
        <v>6818.0520064458933</v>
      </c>
      <c r="AS118" s="63">
        <f>'Local multi year dist'!BK118</f>
        <v>7263.6263856594596</v>
      </c>
      <c r="AT118" s="63">
        <f>'Local multi year dist'!BL118</f>
        <v>5466.8620639292367</v>
      </c>
      <c r="AU118" s="63">
        <f>'Local multi year dist'!BM118</f>
        <v>7774.8493145534349</v>
      </c>
      <c r="AV118" s="63">
        <f>'Local multi year dist'!BN118</f>
        <v>7821.5124796584232</v>
      </c>
      <c r="AW118" s="63">
        <f>'Local multi year dist'!BO118</f>
        <v>7274.1571666293139</v>
      </c>
      <c r="AX118" s="63">
        <f>'Local multi year dist'!BP118</f>
        <v>6728.791606790337</v>
      </c>
      <c r="AY118" s="63">
        <f>'Local multi year dist'!BQ118</f>
        <v>6161.4974867502451</v>
      </c>
      <c r="AZ118" s="63">
        <f>'Local multi year dist'!BR118</f>
        <v>4810.4789384047608</v>
      </c>
      <c r="BA118" s="63">
        <f>'Local multi year dist'!BS118</f>
        <v>4810.4789384047608</v>
      </c>
      <c r="BB118" s="63">
        <f>'Local multi year dist'!BT118</f>
        <v>4810.4789384047608</v>
      </c>
      <c r="BC118" s="63">
        <f>'Local multi year dist'!BU118</f>
        <v>3976.018576661143</v>
      </c>
      <c r="BD118" s="63">
        <f>'Local multi year dist'!BV118</f>
        <v>3976.018576661143</v>
      </c>
      <c r="BE118" s="63">
        <f>'Local multi year dist'!BW118</f>
        <v>2869.7372870082454</v>
      </c>
      <c r="BF118" s="63"/>
      <c r="BG118" s="63"/>
      <c r="BH118" s="63"/>
      <c r="BI118" s="63"/>
      <c r="BJ118" s="63"/>
      <c r="BK118" s="63"/>
      <c r="BL118" s="63"/>
      <c r="BM118" s="63"/>
      <c r="BN118" s="63"/>
      <c r="BO118" s="63"/>
      <c r="BP118" s="63"/>
      <c r="BQ118" s="63"/>
    </row>
    <row r="119" spans="1:69" x14ac:dyDescent="0.25">
      <c r="A119" t="str">
        <f>'Local multi year dist'!S119</f>
        <v>Southampton County</v>
      </c>
      <c r="B119" s="63">
        <f>'Local multi year dist'!T119</f>
        <v>5570.8992918325284</v>
      </c>
      <c r="C119" s="63">
        <f>'Local multi year dist'!U119</f>
        <v>35266.829713173662</v>
      </c>
      <c r="D119" s="63">
        <f>'Local multi year dist'!V119</f>
        <v>43493.025106868452</v>
      </c>
      <c r="E119" s="63">
        <f>'Local multi year dist'!W119</f>
        <v>16679.478843577017</v>
      </c>
      <c r="F119" s="63">
        <f>'Local multi year dist'!X119</f>
        <v>17923.17790546644</v>
      </c>
      <c r="G119" s="63">
        <f>'Local multi year dist'!Y119</f>
        <v>19048.061626945408</v>
      </c>
      <c r="H119" s="63">
        <f>'Local multi year dist'!Z119</f>
        <v>14512.004279088404</v>
      </c>
      <c r="I119" s="63">
        <f>'Local multi year dist'!AA119</f>
        <v>20338.679709104028</v>
      </c>
      <c r="J119" s="63">
        <f>'Local multi year dist'!AB119</f>
        <v>20431.219390015813</v>
      </c>
      <c r="K119" s="63">
        <f>'Local multi year dist'!AC119</f>
        <v>19129.606067020126</v>
      </c>
      <c r="L119" s="63">
        <f>'Local multi year dist'!AD119</f>
        <v>17752.391558564526</v>
      </c>
      <c r="M119" s="63">
        <f>'Local multi year dist'!AE119</f>
        <v>16320.217827996486</v>
      </c>
      <c r="N119" s="63">
        <f>'Local multi year dist'!AF119</f>
        <v>12454.71144089989</v>
      </c>
      <c r="O119" s="63">
        <f>'Local multi year dist'!AG119</f>
        <v>12454.71144089989</v>
      </c>
      <c r="P119" s="63">
        <f>'Local multi year dist'!AH119</f>
        <v>12454.71144089989</v>
      </c>
      <c r="Q119" s="63">
        <f>'Local multi year dist'!AI119</f>
        <v>10348.057824950096</v>
      </c>
      <c r="R119" s="63">
        <f>'Local multi year dist'!AJ119</f>
        <v>10348.057824950096</v>
      </c>
      <c r="S119" s="63">
        <f>'Local multi year dist'!AK119</f>
        <v>7244.8527331719097</v>
      </c>
      <c r="T119" s="63"/>
      <c r="U119" s="63">
        <f>'Local multi year dist'!AM119</f>
        <v>0</v>
      </c>
      <c r="V119" s="63">
        <f>'Local multi year dist'!AN119</f>
        <v>12761.389934187011</v>
      </c>
      <c r="W119" s="63">
        <f>'Local multi year dist'!AO119</f>
        <v>14771.965373301611</v>
      </c>
      <c r="X119" s="63">
        <f>'Local multi year dist'!AP119</f>
        <v>5752.4128245337261</v>
      </c>
      <c r="Y119" s="63">
        <f>'Local multi year dist'!AQ119</f>
        <v>6311.3048978586876</v>
      </c>
      <c r="Z119" s="63">
        <f>'Local multi year dist'!AR119</f>
        <v>6723.7622624009755</v>
      </c>
      <c r="AA119" s="63">
        <f>'Local multi year dist'!AS119</f>
        <v>5060.5412348534064</v>
      </c>
      <c r="AB119" s="63">
        <f>'Local multi year dist'!AT119</f>
        <v>7196.9888925258028</v>
      </c>
      <c r="AC119" s="63">
        <f>'Local multi year dist'!AU119</f>
        <v>7240.1838494135282</v>
      </c>
      <c r="AD119" s="63">
        <f>'Local multi year dist'!AV119</f>
        <v>6733.5103501906369</v>
      </c>
      <c r="AE119" s="63">
        <f>'Local multi year dist'!AW119</f>
        <v>6228.6787170964499</v>
      </c>
      <c r="AF119" s="63">
        <f>'Local multi year dist'!AX119</f>
        <v>5703.5483492215008</v>
      </c>
      <c r="AG119" s="63">
        <f>'Local multi year dist'!AY119</f>
        <v>4452.9433416314259</v>
      </c>
      <c r="AH119" s="63">
        <f>'Local multi year dist'!AZ119</f>
        <v>4452.9433416314259</v>
      </c>
      <c r="AI119" s="63">
        <f>'Local multi year dist'!BA119</f>
        <v>4452.9433416314259</v>
      </c>
      <c r="AJ119" s="63">
        <f>'Local multi year dist'!BB119</f>
        <v>3680.5036824498357</v>
      </c>
      <c r="AK119" s="63">
        <f>'Local multi year dist'!BC119</f>
        <v>3680.5036824498357</v>
      </c>
      <c r="AL119" s="63">
        <f>'Local multi year dist'!BD119</f>
        <v>2656.4460021630334</v>
      </c>
      <c r="AN119" s="63">
        <f>'Local multi year dist'!BF119</f>
        <v>0</v>
      </c>
      <c r="AO119" s="63">
        <f>'Local multi year dist'!BG119</f>
        <v>3190.3474835467528</v>
      </c>
      <c r="AP119" s="63">
        <f>'Local multi year dist'!BH119</f>
        <v>3692.9913433254028</v>
      </c>
      <c r="AQ119" s="63">
        <f>'Local multi year dist'!BI119</f>
        <v>1438.1032061334315</v>
      </c>
      <c r="AR119" s="63">
        <f>'Local multi year dist'!BJ119</f>
        <v>1577.8262244646719</v>
      </c>
      <c r="AS119" s="63">
        <f>'Local multi year dist'!BK119</f>
        <v>1680.9405656002439</v>
      </c>
      <c r="AT119" s="63">
        <f>'Local multi year dist'!BL119</f>
        <v>1265.1353087133516</v>
      </c>
      <c r="AU119" s="63">
        <f>'Local multi year dist'!BM119</f>
        <v>1799.2472231314507</v>
      </c>
      <c r="AV119" s="63">
        <f>'Local multi year dist'!BN119</f>
        <v>1810.045962353382</v>
      </c>
      <c r="AW119" s="63">
        <f>'Local multi year dist'!BO119</f>
        <v>1683.3775875476592</v>
      </c>
      <c r="AX119" s="63">
        <f>'Local multi year dist'!BP119</f>
        <v>1557.1696792741125</v>
      </c>
      <c r="AY119" s="63">
        <f>'Local multi year dist'!BQ119</f>
        <v>1425.8870873053752</v>
      </c>
      <c r="AZ119" s="63">
        <f>'Local multi year dist'!BR119</f>
        <v>1113.2358354078565</v>
      </c>
      <c r="BA119" s="63">
        <f>'Local multi year dist'!BS119</f>
        <v>1113.2358354078565</v>
      </c>
      <c r="BB119" s="63">
        <f>'Local multi year dist'!BT119</f>
        <v>1113.2358354078565</v>
      </c>
      <c r="BC119" s="63">
        <f>'Local multi year dist'!BU119</f>
        <v>920.12592061245891</v>
      </c>
      <c r="BD119" s="63">
        <f>'Local multi year dist'!BV119</f>
        <v>920.12592061245891</v>
      </c>
      <c r="BE119" s="63">
        <f>'Local multi year dist'!BW119</f>
        <v>664.11150054075836</v>
      </c>
      <c r="BF119" s="63"/>
      <c r="BG119" s="63"/>
      <c r="BH119" s="63"/>
      <c r="BI119" s="63"/>
      <c r="BJ119" s="63"/>
      <c r="BK119" s="63"/>
      <c r="BL119" s="63"/>
      <c r="BM119" s="63"/>
      <c r="BN119" s="63"/>
      <c r="BO119" s="63"/>
      <c r="BP119" s="63"/>
      <c r="BQ119" s="63"/>
    </row>
    <row r="120" spans="1:69" x14ac:dyDescent="0.25">
      <c r="A120" t="str">
        <f>'Local multi year dist'!S120</f>
        <v>Spotsylvania County</v>
      </c>
      <c r="B120" s="63">
        <f>'Local multi year dist'!T120</f>
        <v>57620.177346910168</v>
      </c>
      <c r="C120" s="63">
        <f>'Local multi year dist'!U120</f>
        <v>364767.13652238745</v>
      </c>
      <c r="D120" s="63">
        <f>'Local multi year dist'!V120</f>
        <v>449851.21588636935</v>
      </c>
      <c r="E120" s="63">
        <f>'Local multi year dist'!W120</f>
        <v>172516.9454113039</v>
      </c>
      <c r="F120" s="63">
        <f>'Local multi year dist'!X120</f>
        <v>185380.60651128428</v>
      </c>
      <c r="G120" s="63">
        <f>'Local multi year dist'!Y120</f>
        <v>197015.35274001199</v>
      </c>
      <c r="H120" s="63">
        <f>'Local multi year dist'!Z120</f>
        <v>150098.61360195818</v>
      </c>
      <c r="I120" s="63">
        <f>'Local multi year dist'!AA120</f>
        <v>210364.30034890809</v>
      </c>
      <c r="J120" s="63">
        <f>'Local multi year dist'!AB120</f>
        <v>211321.44434782775</v>
      </c>
      <c r="K120" s="63">
        <f>'Local multi year dist'!AC120</f>
        <v>197858.77224063882</v>
      </c>
      <c r="L120" s="63">
        <f>'Local multi year dist'!AD120</f>
        <v>183614.15210573675</v>
      </c>
      <c r="M120" s="63">
        <f>'Local multi year dist'!AE120</f>
        <v>168801.08512606582</v>
      </c>
      <c r="N120" s="63">
        <f>'Local multi year dist'!AF120</f>
        <v>128819.89862594995</v>
      </c>
      <c r="O120" s="63">
        <f>'Local multi year dist'!AG120</f>
        <v>128819.89862594995</v>
      </c>
      <c r="P120" s="63">
        <f>'Local multi year dist'!AH120</f>
        <v>128819.89862594995</v>
      </c>
      <c r="Q120" s="63">
        <f>'Local multi year dist'!AI120</f>
        <v>107030.641882878</v>
      </c>
      <c r="R120" s="63">
        <f>'Local multi year dist'!AJ120</f>
        <v>107030.641882878</v>
      </c>
      <c r="S120" s="63">
        <f>'Local multi year dist'!AK120</f>
        <v>74933.987758427713</v>
      </c>
      <c r="T120" s="63"/>
      <c r="U120" s="63">
        <f>'Local multi year dist'!AM120</f>
        <v>0</v>
      </c>
      <c r="V120" s="63">
        <f>'Local multi year dist'!AN120</f>
        <v>131991.89442878097</v>
      </c>
      <c r="W120" s="63">
        <f>'Local multi year dist'!AO120</f>
        <v>152787.40827714148</v>
      </c>
      <c r="X120" s="63">
        <f>'Local multi year dist'!AP120</f>
        <v>59497.583739885325</v>
      </c>
      <c r="Y120" s="63">
        <f>'Local multi year dist'!AQ120</f>
        <v>65278.241169823064</v>
      </c>
      <c r="Z120" s="63">
        <f>'Local multi year dist'!AR120</f>
        <v>69544.314787023221</v>
      </c>
      <c r="AA120" s="63">
        <f>'Local multi year dist'!AS120</f>
        <v>52341.510436403478</v>
      </c>
      <c r="AB120" s="63">
        <f>'Local multi year dist'!AT120</f>
        <v>74438.928910285133</v>
      </c>
      <c r="AC120" s="63">
        <f>'Local multi year dist'!AU120</f>
        <v>74885.69718699978</v>
      </c>
      <c r="AD120" s="63">
        <f>'Local multi year dist'!AV120</f>
        <v>69645.13989941703</v>
      </c>
      <c r="AE120" s="63">
        <f>'Local multi year dist'!AW120</f>
        <v>64423.633154201962</v>
      </c>
      <c r="AF120" s="63">
        <f>'Local multi year dist'!AX120</f>
        <v>58992.175261655961</v>
      </c>
      <c r="AG120" s="63">
        <f>'Local multi year dist'!AY120</f>
        <v>46057.085511618476</v>
      </c>
      <c r="AH120" s="63">
        <f>'Local multi year dist'!AZ120</f>
        <v>46057.085511618476</v>
      </c>
      <c r="AI120" s="63">
        <f>'Local multi year dist'!BA120</f>
        <v>46057.085511618476</v>
      </c>
      <c r="AJ120" s="63">
        <f>'Local multi year dist'!BB120</f>
        <v>38067.691372492096</v>
      </c>
      <c r="AK120" s="63">
        <f>'Local multi year dist'!BC120</f>
        <v>38067.691372492096</v>
      </c>
      <c r="AL120" s="63">
        <f>'Local multi year dist'!BD120</f>
        <v>27475.79551142349</v>
      </c>
      <c r="AN120" s="63">
        <f>'Local multi year dist'!BF120</f>
        <v>0</v>
      </c>
      <c r="AO120" s="63">
        <f>'Local multi year dist'!BG120</f>
        <v>32997.973607195243</v>
      </c>
      <c r="AP120" s="63">
        <f>'Local multi year dist'!BH120</f>
        <v>38196.852069285371</v>
      </c>
      <c r="AQ120" s="63">
        <f>'Local multi year dist'!BI120</f>
        <v>14874.395934971331</v>
      </c>
      <c r="AR120" s="63">
        <f>'Local multi year dist'!BJ120</f>
        <v>16319.560292455766</v>
      </c>
      <c r="AS120" s="63">
        <f>'Local multi year dist'!BK120</f>
        <v>17386.078696755805</v>
      </c>
      <c r="AT120" s="63">
        <f>'Local multi year dist'!BL120</f>
        <v>13085.377609100869</v>
      </c>
      <c r="AU120" s="63">
        <f>'Local multi year dist'!BM120</f>
        <v>18609.732227571283</v>
      </c>
      <c r="AV120" s="63">
        <f>'Local multi year dist'!BN120</f>
        <v>18721.424296749945</v>
      </c>
      <c r="AW120" s="63">
        <f>'Local multi year dist'!BO120</f>
        <v>17411.284974854258</v>
      </c>
      <c r="AX120" s="63">
        <f>'Local multi year dist'!BP120</f>
        <v>16105.90828855049</v>
      </c>
      <c r="AY120" s="63">
        <f>'Local multi year dist'!BQ120</f>
        <v>14748.04381541399</v>
      </c>
      <c r="AZ120" s="63">
        <f>'Local multi year dist'!BR120</f>
        <v>11514.271377904619</v>
      </c>
      <c r="BA120" s="63">
        <f>'Local multi year dist'!BS120</f>
        <v>11514.271377904619</v>
      </c>
      <c r="BB120" s="63">
        <f>'Local multi year dist'!BT120</f>
        <v>11514.271377904619</v>
      </c>
      <c r="BC120" s="63">
        <f>'Local multi year dist'!BU120</f>
        <v>9516.922843123024</v>
      </c>
      <c r="BD120" s="63">
        <f>'Local multi year dist'!BV120</f>
        <v>9516.922843123024</v>
      </c>
      <c r="BE120" s="63">
        <f>'Local multi year dist'!BW120</f>
        <v>6868.9488778558725</v>
      </c>
      <c r="BF120" s="63"/>
      <c r="BG120" s="63"/>
      <c r="BH120" s="63"/>
      <c r="BI120" s="63"/>
      <c r="BJ120" s="63"/>
      <c r="BK120" s="63"/>
      <c r="BL120" s="63"/>
      <c r="BM120" s="63"/>
      <c r="BN120" s="63"/>
      <c r="BO120" s="63"/>
      <c r="BP120" s="63"/>
      <c r="BQ120" s="63"/>
    </row>
    <row r="121" spans="1:69" x14ac:dyDescent="0.25">
      <c r="A121" t="str">
        <f>'Local multi year dist'!S121</f>
        <v>Stafford County</v>
      </c>
      <c r="B121" s="63">
        <f>'Local multi year dist'!T121</f>
        <v>58677.428307403934</v>
      </c>
      <c r="C121" s="63">
        <f>'Local multi year dist'!U121</f>
        <v>371460.11150444957</v>
      </c>
      <c r="D121" s="63">
        <f>'Local multi year dist'!V121</f>
        <v>458105.36663657794</v>
      </c>
      <c r="E121" s="63">
        <f>'Local multi year dist'!W121</f>
        <v>175682.39395096083</v>
      </c>
      <c r="F121" s="63">
        <f>'Local multi year dist'!X121</f>
        <v>188782.08552983997</v>
      </c>
      <c r="G121" s="63">
        <f>'Local multi year dist'!Y121</f>
        <v>200630.31334074616</v>
      </c>
      <c r="H121" s="63">
        <f>'Local multi year dist'!Z121</f>
        <v>152852.71660382894</v>
      </c>
      <c r="I121" s="63">
        <f>'Local multi year dist'!AA121</f>
        <v>214224.19576815411</v>
      </c>
      <c r="J121" s="63">
        <f>'Local multi year dist'!AB121</f>
        <v>215198.90204228333</v>
      </c>
      <c r="K121" s="63">
        <f>'Local multi year dist'!AC121</f>
        <v>201489.20842854047</v>
      </c>
      <c r="L121" s="63">
        <f>'Local multi year dist'!AD121</f>
        <v>186983.21911685116</v>
      </c>
      <c r="M121" s="63">
        <f>'Local multi year dist'!AE121</f>
        <v>171898.35274305785</v>
      </c>
      <c r="N121" s="63">
        <f>'Local multi year dist'!AF121</f>
        <v>131183.56649064628</v>
      </c>
      <c r="O121" s="63">
        <f>'Local multi year dist'!AG121</f>
        <v>131183.56649064628</v>
      </c>
      <c r="P121" s="63">
        <f>'Local multi year dist'!AH121</f>
        <v>131183.56649064628</v>
      </c>
      <c r="Q121" s="63">
        <f>'Local multi year dist'!AI121</f>
        <v>108994.50687155465</v>
      </c>
      <c r="R121" s="63">
        <f>'Local multi year dist'!AJ121</f>
        <v>108994.50687155465</v>
      </c>
      <c r="S121" s="63">
        <f>'Local multi year dist'!AK121</f>
        <v>76308.923313628213</v>
      </c>
      <c r="T121" s="63"/>
      <c r="U121" s="63">
        <f>'Local multi year dist'!AM121</f>
        <v>0</v>
      </c>
      <c r="V121" s="63">
        <f>'Local multi year dist'!AN121</f>
        <v>134413.76405132742</v>
      </c>
      <c r="W121" s="63">
        <f>'Local multi year dist'!AO121</f>
        <v>155590.84696112573</v>
      </c>
      <c r="X121" s="63">
        <f>'Local multi year dist'!AP121</f>
        <v>60589.282524103408</v>
      </c>
      <c r="Y121" s="63">
        <f>'Local multi year dist'!AQ121</f>
        <v>66476.007062847348</v>
      </c>
      <c r="Z121" s="63">
        <f>'Local multi year dist'!AR121</f>
        <v>70820.357260179619</v>
      </c>
      <c r="AA121" s="63">
        <f>'Local multi year dist'!AS121</f>
        <v>53301.905123309967</v>
      </c>
      <c r="AB121" s="63">
        <f>'Local multi year dist'!AT121</f>
        <v>75804.780816895858</v>
      </c>
      <c r="AC121" s="63">
        <f>'Local multi year dist'!AU121</f>
        <v>76259.7466766695</v>
      </c>
      <c r="AD121" s="63">
        <f>'Local multi year dist'!AV121</f>
        <v>70923.032374635688</v>
      </c>
      <c r="AE121" s="63">
        <f>'Local multi year dist'!AW121</f>
        <v>65605.718166205668</v>
      </c>
      <c r="AF121" s="63">
        <f>'Local multi year dist'!AX121</f>
        <v>60074.600495814782</v>
      </c>
      <c r="AG121" s="63">
        <f>'Local multi year dist'!AY121</f>
        <v>46902.169649446332</v>
      </c>
      <c r="AH121" s="63">
        <f>'Local multi year dist'!AZ121</f>
        <v>46902.169649446332</v>
      </c>
      <c r="AI121" s="63">
        <f>'Local multi year dist'!BA121</f>
        <v>46902.169649446332</v>
      </c>
      <c r="AJ121" s="63">
        <f>'Local multi year dist'!BB121</f>
        <v>38766.181122446076</v>
      </c>
      <c r="AK121" s="63">
        <f>'Local multi year dist'!BC121</f>
        <v>38766.181122446076</v>
      </c>
      <c r="AL121" s="63">
        <f>'Local multi year dist'!BD121</f>
        <v>27979.938548330345</v>
      </c>
      <c r="AN121" s="63">
        <f>'Local multi year dist'!BF121</f>
        <v>0</v>
      </c>
      <c r="AO121" s="63">
        <f>'Local multi year dist'!BG121</f>
        <v>33603.441012831856</v>
      </c>
      <c r="AP121" s="63">
        <f>'Local multi year dist'!BH121</f>
        <v>38897.711740281433</v>
      </c>
      <c r="AQ121" s="63">
        <f>'Local multi year dist'!BI121</f>
        <v>15147.320631025852</v>
      </c>
      <c r="AR121" s="63">
        <f>'Local multi year dist'!BJ121</f>
        <v>16619.001765711837</v>
      </c>
      <c r="AS121" s="63">
        <f>'Local multi year dist'!BK121</f>
        <v>17705.089315044905</v>
      </c>
      <c r="AT121" s="63">
        <f>'Local multi year dist'!BL121</f>
        <v>13325.476280827492</v>
      </c>
      <c r="AU121" s="63">
        <f>'Local multi year dist'!BM121</f>
        <v>18951.195204223965</v>
      </c>
      <c r="AV121" s="63">
        <f>'Local multi year dist'!BN121</f>
        <v>19064.936669167375</v>
      </c>
      <c r="AW121" s="63">
        <f>'Local multi year dist'!BO121</f>
        <v>17730.758093658922</v>
      </c>
      <c r="AX121" s="63">
        <f>'Local multi year dist'!BP121</f>
        <v>16401.429541551417</v>
      </c>
      <c r="AY121" s="63">
        <f>'Local multi year dist'!BQ121</f>
        <v>15018.650123953696</v>
      </c>
      <c r="AZ121" s="63">
        <f>'Local multi year dist'!BR121</f>
        <v>11725.542412361583</v>
      </c>
      <c r="BA121" s="63">
        <f>'Local multi year dist'!BS121</f>
        <v>11725.542412361583</v>
      </c>
      <c r="BB121" s="63">
        <f>'Local multi year dist'!BT121</f>
        <v>11725.542412361583</v>
      </c>
      <c r="BC121" s="63">
        <f>'Local multi year dist'!BU121</f>
        <v>9691.545280611519</v>
      </c>
      <c r="BD121" s="63">
        <f>'Local multi year dist'!BV121</f>
        <v>9691.545280611519</v>
      </c>
      <c r="BE121" s="63">
        <f>'Local multi year dist'!BW121</f>
        <v>6994.9846370825862</v>
      </c>
      <c r="BF121" s="63"/>
      <c r="BG121" s="63"/>
      <c r="BH121" s="63"/>
      <c r="BI121" s="63"/>
      <c r="BJ121" s="63"/>
      <c r="BK121" s="63"/>
      <c r="BL121" s="63"/>
      <c r="BM121" s="63"/>
      <c r="BN121" s="63"/>
      <c r="BO121" s="63"/>
      <c r="BP121" s="63"/>
      <c r="BQ121" s="63"/>
    </row>
    <row r="122" spans="1:69" x14ac:dyDescent="0.25">
      <c r="A122" t="str">
        <f>'Local multi year dist'!S122</f>
        <v>Staunton City</v>
      </c>
      <c r="B122" s="63">
        <f>'Local multi year dist'!T122</f>
        <v>17891.939331432939</v>
      </c>
      <c r="C122" s="63">
        <f>'Local multi year dist'!U122</f>
        <v>113265.73046566723</v>
      </c>
      <c r="D122" s="63">
        <f>'Local multi year dist'!V122</f>
        <v>139685.62808045343</v>
      </c>
      <c r="E122" s="63">
        <f>'Local multi year dist'!W122</f>
        <v>53569.129132656111</v>
      </c>
      <c r="F122" s="63">
        <f>'Local multi year dist'!X122</f>
        <v>57563.491083249886</v>
      </c>
      <c r="G122" s="63">
        <f>'Local multi year dist'!Y122</f>
        <v>61176.256320116641</v>
      </c>
      <c r="H122" s="63">
        <f>'Local multi year dist'!Z122</f>
        <v>46607.896954736483</v>
      </c>
      <c r="I122" s="63">
        <f>'Local multi year dist'!AA122</f>
        <v>65321.30709493265</v>
      </c>
      <c r="J122" s="63">
        <f>'Local multi year dist'!AB122</f>
        <v>65618.514829247855</v>
      </c>
      <c r="K122" s="63">
        <f>'Local multi year dist'!AC122</f>
        <v>61438.150872181432</v>
      </c>
      <c r="L122" s="63">
        <f>'Local multi year dist'!AD122</f>
        <v>57014.980188090449</v>
      </c>
      <c r="M122" s="63">
        <f>'Local multi year dist'!AE122</f>
        <v>52415.298133711338</v>
      </c>
      <c r="N122" s="63">
        <f>'Local multi year dist'!AF122</f>
        <v>40000.533094860963</v>
      </c>
      <c r="O122" s="63">
        <f>'Local multi year dist'!AG122</f>
        <v>40000.533094860963</v>
      </c>
      <c r="P122" s="63">
        <f>'Local multi year dist'!AH122</f>
        <v>40000.533094860963</v>
      </c>
      <c r="Q122" s="63">
        <f>'Local multi year dist'!AI122</f>
        <v>33234.638269912721</v>
      </c>
      <c r="R122" s="63">
        <f>'Local multi year dist'!AJ122</f>
        <v>33234.638269912721</v>
      </c>
      <c r="S122" s="63">
        <f>'Local multi year dist'!AK122</f>
        <v>23268.140164931683</v>
      </c>
      <c r="T122" s="63"/>
      <c r="U122" s="63">
        <f>'Local multi year dist'!AM122</f>
        <v>0</v>
      </c>
      <c r="V122" s="63">
        <f>'Local multi year dist'!AN122</f>
        <v>40985.485920016676</v>
      </c>
      <c r="W122" s="63">
        <f>'Local multi year dist'!AO122</f>
        <v>47442.808498194958</v>
      </c>
      <c r="X122" s="63">
        <f>'Local multi year dist'!AP122</f>
        <v>18474.902502152112</v>
      </c>
      <c r="Y122" s="63">
        <f>'Local multi year dist'!AQ122</f>
        <v>20269.884343487756</v>
      </c>
      <c r="Z122" s="63">
        <f>'Local multi year dist'!AR122</f>
        <v>21594.5649303389</v>
      </c>
      <c r="AA122" s="63">
        <f>'Local multi year dist'!AS122</f>
        <v>16252.833163032839</v>
      </c>
      <c r="AB122" s="63">
        <f>'Local multi year dist'!AT122</f>
        <v>23114.416881104768</v>
      </c>
      <c r="AC122" s="63">
        <f>'Local multi year dist'!AU122</f>
        <v>23253.145209795275</v>
      </c>
      <c r="AD122" s="63">
        <f>'Local multi year dist'!AV122</f>
        <v>21625.87265754657</v>
      </c>
      <c r="AE122" s="63">
        <f>'Local multi year dist'!AW122</f>
        <v>20004.515587755021</v>
      </c>
      <c r="AF122" s="63">
        <f>'Local multi year dist'!AX122</f>
        <v>18317.965501149345</v>
      </c>
      <c r="AG122" s="63">
        <f>'Local multi year dist'!AY122</f>
        <v>14301.423870933048</v>
      </c>
      <c r="AH122" s="63">
        <f>'Local multi year dist'!AZ122</f>
        <v>14301.423870933048</v>
      </c>
      <c r="AI122" s="63">
        <f>'Local multi year dist'!BA122</f>
        <v>14301.423870933048</v>
      </c>
      <c r="AJ122" s="63">
        <f>'Local multi year dist'!BB122</f>
        <v>11820.595768452027</v>
      </c>
      <c r="AK122" s="63">
        <f>'Local multi year dist'!BC122</f>
        <v>11820.595768452027</v>
      </c>
      <c r="AL122" s="63">
        <f>'Local multi year dist'!BD122</f>
        <v>8531.6513938082826</v>
      </c>
      <c r="AN122" s="63">
        <f>'Local multi year dist'!BF122</f>
        <v>0</v>
      </c>
      <c r="AO122" s="63">
        <f>'Local multi year dist'!BG122</f>
        <v>10246.371480004169</v>
      </c>
      <c r="AP122" s="63">
        <f>'Local multi year dist'!BH122</f>
        <v>11860.702124548739</v>
      </c>
      <c r="AQ122" s="63">
        <f>'Local multi year dist'!BI122</f>
        <v>4618.725625538028</v>
      </c>
      <c r="AR122" s="63">
        <f>'Local multi year dist'!BJ122</f>
        <v>5067.4710858719391</v>
      </c>
      <c r="AS122" s="63">
        <f>'Local multi year dist'!BK122</f>
        <v>5398.641232584725</v>
      </c>
      <c r="AT122" s="63">
        <f>'Local multi year dist'!BL122</f>
        <v>4063.2082907582098</v>
      </c>
      <c r="AU122" s="63">
        <f>'Local multi year dist'!BM122</f>
        <v>5778.6042202761919</v>
      </c>
      <c r="AV122" s="63">
        <f>'Local multi year dist'!BN122</f>
        <v>5813.2863024488188</v>
      </c>
      <c r="AW122" s="63">
        <f>'Local multi year dist'!BO122</f>
        <v>5406.4681643866425</v>
      </c>
      <c r="AX122" s="63">
        <f>'Local multi year dist'!BP122</f>
        <v>5001.1288969387551</v>
      </c>
      <c r="AY122" s="63">
        <f>'Local multi year dist'!BQ122</f>
        <v>4579.4913752873363</v>
      </c>
      <c r="AZ122" s="63">
        <f>'Local multi year dist'!BR122</f>
        <v>3575.3559677332619</v>
      </c>
      <c r="BA122" s="63">
        <f>'Local multi year dist'!BS122</f>
        <v>3575.3559677332619</v>
      </c>
      <c r="BB122" s="63">
        <f>'Local multi year dist'!BT122</f>
        <v>3575.3559677332619</v>
      </c>
      <c r="BC122" s="63">
        <f>'Local multi year dist'!BU122</f>
        <v>2955.1489421130068</v>
      </c>
      <c r="BD122" s="63">
        <f>'Local multi year dist'!BV122</f>
        <v>2955.1489421130068</v>
      </c>
      <c r="BE122" s="63">
        <f>'Local multi year dist'!BW122</f>
        <v>2132.9128484520706</v>
      </c>
      <c r="BF122" s="63"/>
      <c r="BG122" s="63"/>
      <c r="BH122" s="63"/>
      <c r="BI122" s="63"/>
      <c r="BJ122" s="63"/>
      <c r="BK122" s="63"/>
      <c r="BL122" s="63"/>
      <c r="BM122" s="63"/>
      <c r="BN122" s="63"/>
      <c r="BO122" s="63"/>
      <c r="BP122" s="63"/>
      <c r="BQ122" s="63"/>
    </row>
    <row r="123" spans="1:69" x14ac:dyDescent="0.25">
      <c r="A123" t="str">
        <f>'Local multi year dist'!S123</f>
        <v>Suffolk City</v>
      </c>
      <c r="B123" s="63">
        <f>'Local multi year dist'!T123</f>
        <v>28871.083921175919</v>
      </c>
      <c r="C123" s="63">
        <f>'Local multi year dist'!U123</f>
        <v>182769.70143323601</v>
      </c>
      <c r="D123" s="63">
        <f>'Local multi year dist'!V123</f>
        <v>225401.80894800471</v>
      </c>
      <c r="E123" s="63">
        <f>'Local multi year dist'!W123</f>
        <v>86441.094736786123</v>
      </c>
      <c r="F123" s="63">
        <f>'Local multi year dist'!X123</f>
        <v>92886.542429789712</v>
      </c>
      <c r="G123" s="63">
        <f>'Local multi year dist'!Y123</f>
        <v>98716.231789279249</v>
      </c>
      <c r="H123" s="63">
        <f>'Local multi year dist'!Z123</f>
        <v>75208.19735877942</v>
      </c>
      <c r="I123" s="63">
        <f>'Local multi year dist'!AA123</f>
        <v>105404.83644864145</v>
      </c>
      <c r="J123" s="63">
        <f>'Local multi year dist'!AB123</f>
        <v>105884.42165628646</v>
      </c>
      <c r="K123" s="63">
        <f>'Local multi year dist'!AC123</f>
        <v>99138.834361929257</v>
      </c>
      <c r="L123" s="63">
        <f>'Local multi year dist'!AD123</f>
        <v>92001.44530350971</v>
      </c>
      <c r="M123" s="63">
        <f>'Local multi year dist'!AE123</f>
        <v>84579.231079397956</v>
      </c>
      <c r="N123" s="63">
        <f>'Local multi year dist'!AF123</f>
        <v>64546.314766707546</v>
      </c>
      <c r="O123" s="63">
        <f>'Local multi year dist'!AG123</f>
        <v>64546.314766707546</v>
      </c>
      <c r="P123" s="63">
        <f>'Local multi year dist'!AH123</f>
        <v>64546.314766707546</v>
      </c>
      <c r="Q123" s="63">
        <f>'Local multi year dist'!AI123</f>
        <v>53628.620844631958</v>
      </c>
      <c r="R123" s="63">
        <f>'Local multi year dist'!AJ123</f>
        <v>53628.620844631958</v>
      </c>
      <c r="S123" s="63">
        <f>'Local multi year dist'!AK123</f>
        <v>37546.317084321628</v>
      </c>
      <c r="T123" s="63"/>
      <c r="U123" s="63">
        <f>'Local multi year dist'!AM123</f>
        <v>0</v>
      </c>
      <c r="V123" s="63">
        <f>'Local multi year dist'!AN123</f>
        <v>66135.670461845177</v>
      </c>
      <c r="W123" s="63">
        <f>'Local multi year dist'!AO123</f>
        <v>76555.440985723777</v>
      </c>
      <c r="X123" s="63">
        <f>'Local multi year dist'!AP123</f>
        <v>29811.774492109133</v>
      </c>
      <c r="Y123" s="63">
        <f>'Local multi year dist'!AQ123</f>
        <v>32708.222463355287</v>
      </c>
      <c r="Z123" s="63">
        <f>'Local multi year dist'!AR123</f>
        <v>34845.77522850145</v>
      </c>
      <c r="AA123" s="63">
        <f>'Local multi year dist'!AS123</f>
        <v>26226.162603984842</v>
      </c>
      <c r="AB123" s="63">
        <f>'Local multi year dist'!AT123</f>
        <v>37298.263603600928</v>
      </c>
      <c r="AC123" s="63">
        <f>'Local multi year dist'!AU123</f>
        <v>37522.120679442422</v>
      </c>
      <c r="AD123" s="63">
        <f>'Local multi year dist'!AV123</f>
        <v>34896.29451558656</v>
      </c>
      <c r="AE123" s="63">
        <f>'Local multi year dist'!AW123</f>
        <v>32280.01378933201</v>
      </c>
      <c r="AF123" s="63">
        <f>'Local multi year dist'!AX123</f>
        <v>29558.53524049103</v>
      </c>
      <c r="AG123" s="63">
        <f>'Local multi year dist'!AY123</f>
        <v>23077.29760991472</v>
      </c>
      <c r="AH123" s="63">
        <f>'Local multi year dist'!AZ123</f>
        <v>23077.29760991472</v>
      </c>
      <c r="AI123" s="63">
        <f>'Local multi year dist'!BA123</f>
        <v>23077.29760991472</v>
      </c>
      <c r="AJ123" s="63">
        <f>'Local multi year dist'!BB123</f>
        <v>19074.143171820342</v>
      </c>
      <c r="AK123" s="63">
        <f>'Local multi year dist'!BC123</f>
        <v>19074.143171820342</v>
      </c>
      <c r="AL123" s="63">
        <f>'Local multi year dist'!BD123</f>
        <v>13766.982930917929</v>
      </c>
      <c r="AN123" s="63">
        <f>'Local multi year dist'!BF123</f>
        <v>0</v>
      </c>
      <c r="AO123" s="63">
        <f>'Local multi year dist'!BG123</f>
        <v>16533.917615461294</v>
      </c>
      <c r="AP123" s="63">
        <f>'Local multi year dist'!BH123</f>
        <v>19138.860246430944</v>
      </c>
      <c r="AQ123" s="63">
        <f>'Local multi year dist'!BI123</f>
        <v>7452.9436230272831</v>
      </c>
      <c r="AR123" s="63">
        <f>'Local multi year dist'!BJ123</f>
        <v>8177.0556158388217</v>
      </c>
      <c r="AS123" s="63">
        <f>'Local multi year dist'!BK123</f>
        <v>8711.4438071253626</v>
      </c>
      <c r="AT123" s="63">
        <f>'Local multi year dist'!BL123</f>
        <v>6556.5406509962104</v>
      </c>
      <c r="AU123" s="63">
        <f>'Local multi year dist'!BM123</f>
        <v>9324.565900900232</v>
      </c>
      <c r="AV123" s="63">
        <f>'Local multi year dist'!BN123</f>
        <v>9380.5301698606054</v>
      </c>
      <c r="AW123" s="63">
        <f>'Local multi year dist'!BO123</f>
        <v>8724.07362889664</v>
      </c>
      <c r="AX123" s="63">
        <f>'Local multi year dist'!BP123</f>
        <v>8070.0034473330024</v>
      </c>
      <c r="AY123" s="63">
        <f>'Local multi year dist'!BQ123</f>
        <v>7389.6338101227575</v>
      </c>
      <c r="AZ123" s="63">
        <f>'Local multi year dist'!BR123</f>
        <v>5769.32440247868</v>
      </c>
      <c r="BA123" s="63">
        <f>'Local multi year dist'!BS123</f>
        <v>5769.32440247868</v>
      </c>
      <c r="BB123" s="63">
        <f>'Local multi year dist'!BT123</f>
        <v>5769.32440247868</v>
      </c>
      <c r="BC123" s="63">
        <f>'Local multi year dist'!BU123</f>
        <v>4768.5357929550855</v>
      </c>
      <c r="BD123" s="63">
        <f>'Local multi year dist'!BV123</f>
        <v>4768.5357929550855</v>
      </c>
      <c r="BE123" s="63">
        <f>'Local multi year dist'!BW123</f>
        <v>3441.7457327294824</v>
      </c>
      <c r="BF123" s="63"/>
      <c r="BG123" s="63"/>
      <c r="BH123" s="63"/>
      <c r="BI123" s="63"/>
      <c r="BJ123" s="63"/>
      <c r="BK123" s="63"/>
      <c r="BL123" s="63"/>
      <c r="BM123" s="63"/>
      <c r="BN123" s="63"/>
      <c r="BO123" s="63"/>
      <c r="BP123" s="63"/>
      <c r="BQ123" s="63"/>
    </row>
    <row r="124" spans="1:69" x14ac:dyDescent="0.25">
      <c r="A124" t="str">
        <f>'Local multi year dist'!S124</f>
        <v>Surry County</v>
      </c>
      <c r="B124" s="63">
        <f>'Local multi year dist'!T124</f>
        <v>2358.4829118707053</v>
      </c>
      <c r="C124" s="63">
        <f>'Local multi year dist'!U124</f>
        <v>14930.482652292498</v>
      </c>
      <c r="D124" s="63">
        <f>'Local multi year dist'!V124</f>
        <v>18413.105519696132</v>
      </c>
      <c r="E124" s="63">
        <f>'Local multi year dist'!W124</f>
        <v>7061.3852038501236</v>
      </c>
      <c r="F124" s="63">
        <f>'Local multi year dist'!X124</f>
        <v>7587.9147337011209</v>
      </c>
      <c r="G124" s="63">
        <f>'Local multi year dist'!Y124</f>
        <v>8064.1428785608286</v>
      </c>
      <c r="H124" s="63">
        <f>'Local multi year dist'!Z124</f>
        <v>6143.7682349425359</v>
      </c>
      <c r="I124" s="63">
        <f>'Local multi year dist'!AA124</f>
        <v>8610.5359352411215</v>
      </c>
      <c r="J124" s="63">
        <f>'Local multi year dist'!AB124</f>
        <v>8649.7133184008544</v>
      </c>
      <c r="K124" s="63">
        <f>'Local multi year dist'!AC124</f>
        <v>8098.6653422420968</v>
      </c>
      <c r="L124" s="63">
        <f>'Local multi year dist'!AD124</f>
        <v>7515.6110247937404</v>
      </c>
      <c r="M124" s="63">
        <f>'Local multi year dist'!AE124</f>
        <v>6909.289299443767</v>
      </c>
      <c r="N124" s="63">
        <f>'Local multi year dist'!AF124</f>
        <v>5272.7975443225805</v>
      </c>
      <c r="O124" s="63">
        <f>'Local multi year dist'!AG124</f>
        <v>5272.7975443225805</v>
      </c>
      <c r="P124" s="63">
        <f>'Local multi year dist'!AH124</f>
        <v>5272.7975443225805</v>
      </c>
      <c r="Q124" s="63">
        <f>'Local multi year dist'!AI124</f>
        <v>4380.9295901248579</v>
      </c>
      <c r="R124" s="63">
        <f>'Local multi year dist'!AJ124</f>
        <v>4380.9295901248579</v>
      </c>
      <c r="S124" s="63">
        <f>'Local multi year dist'!AK124</f>
        <v>3067.1639308319031</v>
      </c>
      <c r="T124" s="63"/>
      <c r="U124" s="63">
        <f>'Local multi year dist'!AM124</f>
        <v>0</v>
      </c>
      <c r="V124" s="63">
        <f>'Local multi year dist'!AN124</f>
        <v>5402.6322349112888</v>
      </c>
      <c r="W124" s="63">
        <f>'Local multi year dist'!AO124</f>
        <v>6253.824756580243</v>
      </c>
      <c r="X124" s="63">
        <f>'Local multi year dist'!AP124</f>
        <v>2435.3280571018695</v>
      </c>
      <c r="Y124" s="63">
        <f>'Local multi year dist'!AQ124</f>
        <v>2671.9392998233857</v>
      </c>
      <c r="Z124" s="63">
        <f>'Local multi year dist'!AR124</f>
        <v>2846.5562862719457</v>
      </c>
      <c r="AA124" s="63">
        <f>'Local multi year dist'!AS124</f>
        <v>2142.4189169452375</v>
      </c>
      <c r="AB124" s="63">
        <f>'Local multi year dist'!AT124</f>
        <v>3046.9004070547194</v>
      </c>
      <c r="AC124" s="63">
        <f>'Local multi year dist'!AU124</f>
        <v>3065.1873231093768</v>
      </c>
      <c r="AD124" s="63">
        <f>'Local multi year dist'!AV124</f>
        <v>2850.6832139493204</v>
      </c>
      <c r="AE124" s="63">
        <f>'Local multi year dist'!AW124</f>
        <v>2636.9588729313436</v>
      </c>
      <c r="AF124" s="63">
        <f>'Local multi year dist'!AX124</f>
        <v>2414.6409069696865</v>
      </c>
      <c r="AG124" s="63">
        <f>'Local multi year dist'!AY124</f>
        <v>1885.187692077538</v>
      </c>
      <c r="AH124" s="63">
        <f>'Local multi year dist'!AZ124</f>
        <v>1885.187692077538</v>
      </c>
      <c r="AI124" s="63">
        <f>'Local multi year dist'!BA124</f>
        <v>1885.187692077538</v>
      </c>
      <c r="AJ124" s="63">
        <f>'Local multi year dist'!BB124</f>
        <v>1558.1694422050398</v>
      </c>
      <c r="AK124" s="63">
        <f>'Local multi year dist'!BC124</f>
        <v>1558.1694422050398</v>
      </c>
      <c r="AL124" s="63">
        <f>'Local multi year dist'!BD124</f>
        <v>1124.6267746383644</v>
      </c>
      <c r="AN124" s="63">
        <f>'Local multi year dist'!BF124</f>
        <v>0</v>
      </c>
      <c r="AO124" s="63">
        <f>'Local multi year dist'!BG124</f>
        <v>1350.6580587278222</v>
      </c>
      <c r="AP124" s="63">
        <f>'Local multi year dist'!BH124</f>
        <v>1563.4561891450608</v>
      </c>
      <c r="AQ124" s="63">
        <f>'Local multi year dist'!BI124</f>
        <v>608.83201427546737</v>
      </c>
      <c r="AR124" s="63">
        <f>'Local multi year dist'!BJ124</f>
        <v>667.98482495584642</v>
      </c>
      <c r="AS124" s="63">
        <f>'Local multi year dist'!BK124</f>
        <v>711.63907156798643</v>
      </c>
      <c r="AT124" s="63">
        <f>'Local multi year dist'!BL124</f>
        <v>535.60472923630937</v>
      </c>
      <c r="AU124" s="63">
        <f>'Local multi year dist'!BM124</f>
        <v>761.72510176367985</v>
      </c>
      <c r="AV124" s="63">
        <f>'Local multi year dist'!BN124</f>
        <v>766.29683077734421</v>
      </c>
      <c r="AW124" s="63">
        <f>'Local multi year dist'!BO124</f>
        <v>712.67080348733009</v>
      </c>
      <c r="AX124" s="63">
        <f>'Local multi year dist'!BP124</f>
        <v>659.23971823283591</v>
      </c>
      <c r="AY124" s="63">
        <f>'Local multi year dist'!BQ124</f>
        <v>603.66022674242163</v>
      </c>
      <c r="AZ124" s="63">
        <f>'Local multi year dist'!BR124</f>
        <v>471.29692301938451</v>
      </c>
      <c r="BA124" s="63">
        <f>'Local multi year dist'!BS124</f>
        <v>471.29692301938451</v>
      </c>
      <c r="BB124" s="63">
        <f>'Local multi year dist'!BT124</f>
        <v>471.29692301938451</v>
      </c>
      <c r="BC124" s="63">
        <f>'Local multi year dist'!BU124</f>
        <v>389.54236055125995</v>
      </c>
      <c r="BD124" s="63">
        <f>'Local multi year dist'!BV124</f>
        <v>389.54236055125995</v>
      </c>
      <c r="BE124" s="63">
        <f>'Local multi year dist'!BW124</f>
        <v>281.1566936595911</v>
      </c>
      <c r="BF124" s="63"/>
      <c r="BG124" s="63"/>
      <c r="BH124" s="63"/>
      <c r="BI124" s="63"/>
      <c r="BJ124" s="63"/>
      <c r="BK124" s="63"/>
      <c r="BL124" s="63"/>
      <c r="BM124" s="63"/>
      <c r="BN124" s="63"/>
      <c r="BO124" s="63"/>
      <c r="BP124" s="63"/>
      <c r="BQ124" s="63"/>
    </row>
    <row r="125" spans="1:69" x14ac:dyDescent="0.25">
      <c r="A125" t="str">
        <f>'Local multi year dist'!S125</f>
        <v>Sussex County</v>
      </c>
      <c r="B125" s="63">
        <f>'Local multi year dist'!T125</f>
        <v>3293.7433769228819</v>
      </c>
      <c r="C125" s="63">
        <f>'Local multi year dist'!U125</f>
        <v>20851.191290270559</v>
      </c>
      <c r="D125" s="63">
        <f>'Local multi year dist'!V125</f>
        <v>25714.854260265289</v>
      </c>
      <c r="E125" s="63">
        <f>'Local multi year dist'!W125</f>
        <v>9861.5896812389656</v>
      </c>
      <c r="F125" s="63">
        <f>'Local multi year dist'!X125</f>
        <v>10596.91540396191</v>
      </c>
      <c r="G125" s="63">
        <f>'Local multi year dist'!Y125</f>
        <v>11261.992640748744</v>
      </c>
      <c r="H125" s="63">
        <f>'Local multi year dist'!Z125</f>
        <v>8580.090121212852</v>
      </c>
      <c r="I125" s="63">
        <f>'Local multi year dist'!AA125</f>
        <v>12025.0588061126</v>
      </c>
      <c r="J125" s="63">
        <f>'Local multi year dist'!AB125</f>
        <v>12079.772048111538</v>
      </c>
      <c r="K125" s="63">
        <f>'Local multi year dist'!AC125</f>
        <v>11310.205046924309</v>
      </c>
      <c r="L125" s="63">
        <f>'Local multi year dist'!AD125</f>
        <v>10495.939534625742</v>
      </c>
      <c r="M125" s="63">
        <f>'Local multi year dist'!AE125</f>
        <v>9649.1798837059505</v>
      </c>
      <c r="N125" s="63">
        <f>'Local multi year dist'!AF125</f>
        <v>7363.7345015539495</v>
      </c>
      <c r="O125" s="63">
        <f>'Local multi year dist'!AG125</f>
        <v>7363.7345015539495</v>
      </c>
      <c r="P125" s="63">
        <f>'Local multi year dist'!AH125</f>
        <v>7363.7345015539495</v>
      </c>
      <c r="Q125" s="63">
        <f>'Local multi year dist'!AI125</f>
        <v>6118.1947724157499</v>
      </c>
      <c r="R125" s="63">
        <f>'Local multi year dist'!AJ125</f>
        <v>6118.1947724157499</v>
      </c>
      <c r="S125" s="63">
        <f>'Local multi year dist'!AK125</f>
        <v>4283.4530758169685</v>
      </c>
      <c r="T125" s="63"/>
      <c r="U125" s="63">
        <f>'Local multi year dist'!AM125</f>
        <v>0</v>
      </c>
      <c r="V125" s="63">
        <f>'Local multi year dist'!AN125</f>
        <v>7545.0553625485245</v>
      </c>
      <c r="W125" s="63">
        <f>'Local multi year dist'!AO125</f>
        <v>8733.789746258617</v>
      </c>
      <c r="X125" s="63">
        <f>'Local multi year dist'!AP125</f>
        <v>3401.0615969870937</v>
      </c>
      <c r="Y125" s="63">
        <f>'Local multi year dist'!AQ125</f>
        <v>3731.501435960246</v>
      </c>
      <c r="Z125" s="63">
        <f>'Local multi year dist'!AR125</f>
        <v>3975.3630894487519</v>
      </c>
      <c r="AA125" s="63">
        <f>'Local multi year dist'!AS125</f>
        <v>2991.9988322855907</v>
      </c>
      <c r="AB125" s="63">
        <f>'Local multi year dist'!AT125</f>
        <v>4255.154016748832</v>
      </c>
      <c r="AC125" s="63">
        <f>'Local multi year dist'!AU125</f>
        <v>4280.6926408941299</v>
      </c>
      <c r="AD125" s="63">
        <f>'Local multi year dist'!AV125</f>
        <v>3981.1265574119825</v>
      </c>
      <c r="AE125" s="63">
        <f>'Local multi year dist'!AW125</f>
        <v>3682.6494604730833</v>
      </c>
      <c r="AF125" s="63">
        <f>'Local multi year dist'!AX125</f>
        <v>3372.170921802493</v>
      </c>
      <c r="AG125" s="63">
        <f>'Local multi year dist'!AY125</f>
        <v>2632.7621216944926</v>
      </c>
      <c r="AH125" s="63">
        <f>'Local multi year dist'!AZ125</f>
        <v>2632.7621216944926</v>
      </c>
      <c r="AI125" s="63">
        <f>'Local multi year dist'!BA125</f>
        <v>2632.7621216944926</v>
      </c>
      <c r="AJ125" s="63">
        <f>'Local multi year dist'!BB125</f>
        <v>2176.0642210104866</v>
      </c>
      <c r="AK125" s="63">
        <f>'Local multi year dist'!BC125</f>
        <v>2176.0642210104866</v>
      </c>
      <c r="AL125" s="63">
        <f>'Local multi year dist'!BD125</f>
        <v>1570.5994611328883</v>
      </c>
      <c r="AN125" s="63">
        <f>'Local multi year dist'!BF125</f>
        <v>0</v>
      </c>
      <c r="AO125" s="63">
        <f>'Local multi year dist'!BG125</f>
        <v>1886.2638406371311</v>
      </c>
      <c r="AP125" s="63">
        <f>'Local multi year dist'!BH125</f>
        <v>2183.4474365646543</v>
      </c>
      <c r="AQ125" s="63">
        <f>'Local multi year dist'!BI125</f>
        <v>850.26539924677343</v>
      </c>
      <c r="AR125" s="63">
        <f>'Local multi year dist'!BJ125</f>
        <v>932.8753589900615</v>
      </c>
      <c r="AS125" s="63">
        <f>'Local multi year dist'!BK125</f>
        <v>993.84077236218798</v>
      </c>
      <c r="AT125" s="63">
        <f>'Local multi year dist'!BL125</f>
        <v>747.99970807139766</v>
      </c>
      <c r="AU125" s="63">
        <f>'Local multi year dist'!BM125</f>
        <v>1063.788504187208</v>
      </c>
      <c r="AV125" s="63">
        <f>'Local multi year dist'!BN125</f>
        <v>1070.1731602235325</v>
      </c>
      <c r="AW125" s="63">
        <f>'Local multi year dist'!BO125</f>
        <v>995.28163935299563</v>
      </c>
      <c r="AX125" s="63">
        <f>'Local multi year dist'!BP125</f>
        <v>920.66236511827083</v>
      </c>
      <c r="AY125" s="63">
        <f>'Local multi year dist'!BQ125</f>
        <v>843.04273045062325</v>
      </c>
      <c r="AZ125" s="63">
        <f>'Local multi year dist'!BR125</f>
        <v>658.19053042362316</v>
      </c>
      <c r="BA125" s="63">
        <f>'Local multi year dist'!BS125</f>
        <v>658.19053042362316</v>
      </c>
      <c r="BB125" s="63">
        <f>'Local multi year dist'!BT125</f>
        <v>658.19053042362316</v>
      </c>
      <c r="BC125" s="63">
        <f>'Local multi year dist'!BU125</f>
        <v>544.01605525262164</v>
      </c>
      <c r="BD125" s="63">
        <f>'Local multi year dist'!BV125</f>
        <v>544.01605525262164</v>
      </c>
      <c r="BE125" s="63">
        <f>'Local multi year dist'!BW125</f>
        <v>392.64986528322208</v>
      </c>
      <c r="BF125" s="63"/>
      <c r="BG125" s="63"/>
      <c r="BH125" s="63"/>
      <c r="BI125" s="63"/>
      <c r="BJ125" s="63"/>
      <c r="BK125" s="63"/>
      <c r="BL125" s="63"/>
      <c r="BM125" s="63"/>
      <c r="BN125" s="63"/>
      <c r="BO125" s="63"/>
      <c r="BP125" s="63"/>
      <c r="BQ125" s="63"/>
    </row>
    <row r="126" spans="1:69" x14ac:dyDescent="0.25">
      <c r="A126" t="str">
        <f>'Local multi year dist'!S126</f>
        <v>Tazewell County</v>
      </c>
      <c r="B126" s="63">
        <f>'Local multi year dist'!T126</f>
        <v>65305.578559730231</v>
      </c>
      <c r="C126" s="63">
        <f>'Local multi year dist'!U126</f>
        <v>413419.91619968542</v>
      </c>
      <c r="D126" s="63">
        <f>'Local multi year dist'!V126</f>
        <v>509852.54249365506</v>
      </c>
      <c r="E126" s="63">
        <f>'Local multi year dist'!W126</f>
        <v>195527.32133419483</v>
      </c>
      <c r="F126" s="63">
        <f>'Local multi year dist'!X126</f>
        <v>210106.7424538621</v>
      </c>
      <c r="G126" s="63">
        <f>'Local multi year dist'!Y126</f>
        <v>223293.33556842574</v>
      </c>
      <c r="H126" s="63">
        <f>'Local multi year dist'!Z126</f>
        <v>170118.82388478817</v>
      </c>
      <c r="I126" s="63">
        <f>'Local multi year dist'!AA126</f>
        <v>238422.77089650417</v>
      </c>
      <c r="J126" s="63">
        <f>'Local multi year dist'!AB126</f>
        <v>239507.57912675472</v>
      </c>
      <c r="K126" s="63">
        <f>'Local multi year dist'!AC126</f>
        <v>224249.25068346225</v>
      </c>
      <c r="L126" s="63">
        <f>'Local multi year dist'!AD126</f>
        <v>208104.67768653017</v>
      </c>
      <c r="M126" s="63">
        <f>'Local multi year dist'!AE126</f>
        <v>191315.83818804641</v>
      </c>
      <c r="N126" s="63">
        <f>'Local multi year dist'!AF126</f>
        <v>146001.94579624251</v>
      </c>
      <c r="O126" s="63">
        <f>'Local multi year dist'!AG126</f>
        <v>146001.94579624251</v>
      </c>
      <c r="P126" s="63">
        <f>'Local multi year dist'!AH126</f>
        <v>146001.94579624251</v>
      </c>
      <c r="Q126" s="63">
        <f>'Local multi year dist'!AI126</f>
        <v>121306.42968518143</v>
      </c>
      <c r="R126" s="63">
        <f>'Local multi year dist'!AJ126</f>
        <v>121306.42968518143</v>
      </c>
      <c r="S126" s="63">
        <f>'Local multi year dist'!AK126</f>
        <v>84928.711602000636</v>
      </c>
      <c r="T126" s="63"/>
      <c r="U126" s="63">
        <f>'Local multi year dist'!AM126</f>
        <v>0</v>
      </c>
      <c r="V126" s="63">
        <f>'Local multi year dist'!AN126</f>
        <v>149597.02360806087</v>
      </c>
      <c r="W126" s="63">
        <f>'Local multi year dist'!AO126</f>
        <v>173166.2510184116</v>
      </c>
      <c r="X126" s="63">
        <f>'Local multi year dist'!AP126</f>
        <v>67433.394132855217</v>
      </c>
      <c r="Y126" s="63">
        <f>'Local multi year dist'!AQ126</f>
        <v>73985.077853730312</v>
      </c>
      <c r="Z126" s="63">
        <f>'Local multi year dist'!AR126</f>
        <v>78820.161995736984</v>
      </c>
      <c r="AA126" s="63">
        <f>'Local multi year dist'!AS126</f>
        <v>59322.841045069865</v>
      </c>
      <c r="AB126" s="63">
        <f>'Local multi year dist'!AT126</f>
        <v>84367.621616032411</v>
      </c>
      <c r="AC126" s="63">
        <f>'Local multi year dist'!AU126</f>
        <v>84873.98001575275</v>
      </c>
      <c r="AD126" s="63">
        <f>'Local multi year dist'!AV126</f>
        <v>78934.435200044987</v>
      </c>
      <c r="AE126" s="63">
        <f>'Local multi year dist'!AW126</f>
        <v>73016.481895305827</v>
      </c>
      <c r="AF126" s="63">
        <f>'Local multi year dist'!AX126</f>
        <v>66860.574079195125</v>
      </c>
      <c r="AG126" s="63">
        <f>'Local multi year dist'!AY126</f>
        <v>52200.197128905631</v>
      </c>
      <c r="AH126" s="63">
        <f>'Local multi year dist'!AZ126</f>
        <v>52200.197128905631</v>
      </c>
      <c r="AI126" s="63">
        <f>'Local multi year dist'!BA126</f>
        <v>52200.197128905631</v>
      </c>
      <c r="AJ126" s="63">
        <f>'Local multi year dist'!BB126</f>
        <v>43145.174554849902</v>
      </c>
      <c r="AK126" s="63">
        <f>'Local multi year dist'!BC126</f>
        <v>43145.174554849902</v>
      </c>
      <c r="AL126" s="63">
        <f>'Local multi year dist'!BD126</f>
        <v>31140.527587400233</v>
      </c>
      <c r="AN126" s="63">
        <f>'Local multi year dist'!BF126</f>
        <v>0</v>
      </c>
      <c r="AO126" s="63">
        <f>'Local multi year dist'!BG126</f>
        <v>37399.255902015218</v>
      </c>
      <c r="AP126" s="63">
        <f>'Local multi year dist'!BH126</f>
        <v>43291.562754602899</v>
      </c>
      <c r="AQ126" s="63">
        <f>'Local multi year dist'!BI126</f>
        <v>16858.348533213804</v>
      </c>
      <c r="AR126" s="63">
        <f>'Local multi year dist'!BJ126</f>
        <v>18496.269463432578</v>
      </c>
      <c r="AS126" s="63">
        <f>'Local multi year dist'!BK126</f>
        <v>19705.040498934246</v>
      </c>
      <c r="AT126" s="63">
        <f>'Local multi year dist'!BL126</f>
        <v>14830.710261267466</v>
      </c>
      <c r="AU126" s="63">
        <f>'Local multi year dist'!BM126</f>
        <v>21091.905404008103</v>
      </c>
      <c r="AV126" s="63">
        <f>'Local multi year dist'!BN126</f>
        <v>21218.495003938187</v>
      </c>
      <c r="AW126" s="63">
        <f>'Local multi year dist'!BO126</f>
        <v>19733.608800011247</v>
      </c>
      <c r="AX126" s="63">
        <f>'Local multi year dist'!BP126</f>
        <v>18254.120473826457</v>
      </c>
      <c r="AY126" s="63">
        <f>'Local multi year dist'!BQ126</f>
        <v>16715.143519798781</v>
      </c>
      <c r="AZ126" s="63">
        <f>'Local multi year dist'!BR126</f>
        <v>13050.049282226408</v>
      </c>
      <c r="BA126" s="63">
        <f>'Local multi year dist'!BS126</f>
        <v>13050.049282226408</v>
      </c>
      <c r="BB126" s="63">
        <f>'Local multi year dist'!BT126</f>
        <v>13050.049282226408</v>
      </c>
      <c r="BC126" s="63">
        <f>'Local multi year dist'!BU126</f>
        <v>10786.293638712476</v>
      </c>
      <c r="BD126" s="63">
        <f>'Local multi year dist'!BV126</f>
        <v>10786.293638712476</v>
      </c>
      <c r="BE126" s="63">
        <f>'Local multi year dist'!BW126</f>
        <v>7785.1318968500582</v>
      </c>
      <c r="BF126" s="63"/>
      <c r="BG126" s="63"/>
      <c r="BH126" s="63"/>
      <c r="BI126" s="63"/>
      <c r="BJ126" s="63"/>
      <c r="BK126" s="63"/>
      <c r="BL126" s="63"/>
      <c r="BM126" s="63"/>
      <c r="BN126" s="63"/>
      <c r="BO126" s="63"/>
      <c r="BP126" s="63"/>
      <c r="BQ126" s="63"/>
    </row>
    <row r="127" spans="1:69" x14ac:dyDescent="0.25">
      <c r="A127" t="str">
        <f>'Local multi year dist'!S127</f>
        <v>Virginia Beach City</v>
      </c>
      <c r="B127" s="63">
        <f>'Local multi year dist'!T127</f>
        <v>197583.9391168924</v>
      </c>
      <c r="C127" s="63">
        <f>'Local multi year dist'!U127</f>
        <v>1250814.0553015389</v>
      </c>
      <c r="D127" s="63">
        <f>'Local multi year dist'!V127</f>
        <v>1542573.7882793711</v>
      </c>
      <c r="E127" s="63">
        <f>'Local multi year dist'!W127</f>
        <v>591573.63285358192</v>
      </c>
      <c r="F127" s="63">
        <f>'Local multi year dist'!X127</f>
        <v>635684.09812161641</v>
      </c>
      <c r="G127" s="63">
        <f>'Local multi year dist'!Y127</f>
        <v>675580.52149874263</v>
      </c>
      <c r="H127" s="63">
        <f>'Local multi year dist'!Z127</f>
        <v>514699.48023423768</v>
      </c>
      <c r="I127" s="63">
        <f>'Local multi year dist'!AA127</f>
        <v>721355.07085063122</v>
      </c>
      <c r="J127" s="63">
        <f>'Local multi year dist'!AB127</f>
        <v>724637.18989844399</v>
      </c>
      <c r="K127" s="63">
        <f>'Local multi year dist'!AC127</f>
        <v>678472.67065438547</v>
      </c>
      <c r="L127" s="63">
        <f>'Local multi year dist'!AD127</f>
        <v>629626.7925771171</v>
      </c>
      <c r="M127" s="63">
        <f>'Local multi year dist'!AE127</f>
        <v>578831.66734478052</v>
      </c>
      <c r="N127" s="63">
        <f>'Local multi year dist'!AF127</f>
        <v>441733.15979074867</v>
      </c>
      <c r="O127" s="63">
        <f>'Local multi year dist'!AG127</f>
        <v>441733.15979074867</v>
      </c>
      <c r="P127" s="63">
        <f>'Local multi year dist'!AH127</f>
        <v>441733.15979074867</v>
      </c>
      <c r="Q127" s="63">
        <f>'Local multi year dist'!AI127</f>
        <v>367016.15307614976</v>
      </c>
      <c r="R127" s="63">
        <f>'Local multi year dist'!AJ127</f>
        <v>367016.15307614976</v>
      </c>
      <c r="S127" s="63">
        <f>'Local multi year dist'!AK127</f>
        <v>256954.30241227965</v>
      </c>
      <c r="T127" s="63"/>
      <c r="U127" s="63">
        <f>'Local multi year dist'!AM127</f>
        <v>0</v>
      </c>
      <c r="V127" s="63">
        <f>'Local multi year dist'!AN127</f>
        <v>452610.17292127508</v>
      </c>
      <c r="W127" s="63">
        <f>'Local multi year dist'!AO127</f>
        <v>523919.5602107484</v>
      </c>
      <c r="X127" s="63">
        <f>'Local multi year dist'!AP127</f>
        <v>204021.70740444801</v>
      </c>
      <c r="Y127" s="63">
        <f>'Local multi year dist'!AQ127</f>
        <v>223844.01823865229</v>
      </c>
      <c r="Z127" s="63">
        <f>'Local multi year dist'!AR127</f>
        <v>238472.70681026526</v>
      </c>
      <c r="AA127" s="63">
        <f>'Local multi year dist'!AS127</f>
        <v>179482.99167994675</v>
      </c>
      <c r="AB127" s="63">
        <f>'Local multi year dist'!AT127</f>
        <v>255256.70823929107</v>
      </c>
      <c r="AC127" s="63">
        <f>'Local multi year dist'!AU127</f>
        <v>256788.71039635281</v>
      </c>
      <c r="AD127" s="63">
        <f>'Local multi year dist'!AV127</f>
        <v>238818.44373413362</v>
      </c>
      <c r="AE127" s="63">
        <f>'Local multi year dist'!AW127</f>
        <v>220913.50282023102</v>
      </c>
      <c r="AF127" s="63">
        <f>'Local multi year dist'!AX127</f>
        <v>202288.62356837426</v>
      </c>
      <c r="AG127" s="63">
        <f>'Local multi year dist'!AY127</f>
        <v>157933.22406559926</v>
      </c>
      <c r="AH127" s="63">
        <f>'Local multi year dist'!AZ127</f>
        <v>157933.22406559926</v>
      </c>
      <c r="AI127" s="63">
        <f>'Local multi year dist'!BA127</f>
        <v>157933.22406559926</v>
      </c>
      <c r="AJ127" s="63">
        <f>'Local multi year dist'!BB127</f>
        <v>130536.98827024637</v>
      </c>
      <c r="AK127" s="63">
        <f>'Local multi year dist'!BC127</f>
        <v>130536.98827024637</v>
      </c>
      <c r="AL127" s="63">
        <f>'Local multi year dist'!BD127</f>
        <v>94216.57755116919</v>
      </c>
      <c r="AN127" s="63">
        <f>'Local multi year dist'!BF127</f>
        <v>0</v>
      </c>
      <c r="AO127" s="63">
        <f>'Local multi year dist'!BG127</f>
        <v>113152.54323031877</v>
      </c>
      <c r="AP127" s="63">
        <f>'Local multi year dist'!BH127</f>
        <v>130979.8900526871</v>
      </c>
      <c r="AQ127" s="63">
        <f>'Local multi year dist'!BI127</f>
        <v>51005.426851112003</v>
      </c>
      <c r="AR127" s="63">
        <f>'Local multi year dist'!BJ127</f>
        <v>55961.004559663073</v>
      </c>
      <c r="AS127" s="63">
        <f>'Local multi year dist'!BK127</f>
        <v>59618.176702566314</v>
      </c>
      <c r="AT127" s="63">
        <f>'Local multi year dist'!BL127</f>
        <v>44870.747919986687</v>
      </c>
      <c r="AU127" s="63">
        <f>'Local multi year dist'!BM127</f>
        <v>63814.177059822767</v>
      </c>
      <c r="AV127" s="63">
        <f>'Local multi year dist'!BN127</f>
        <v>64197.177599088202</v>
      </c>
      <c r="AW127" s="63">
        <f>'Local multi year dist'!BO127</f>
        <v>59704.610933533404</v>
      </c>
      <c r="AX127" s="63">
        <f>'Local multi year dist'!BP127</f>
        <v>55228.375705057755</v>
      </c>
      <c r="AY127" s="63">
        <f>'Local multi year dist'!BQ127</f>
        <v>50572.155892093564</v>
      </c>
      <c r="AZ127" s="63">
        <f>'Local multi year dist'!BR127</f>
        <v>39483.306016399816</v>
      </c>
      <c r="BA127" s="63">
        <f>'Local multi year dist'!BS127</f>
        <v>39483.306016399816</v>
      </c>
      <c r="BB127" s="63">
        <f>'Local multi year dist'!BT127</f>
        <v>39483.306016399816</v>
      </c>
      <c r="BC127" s="63">
        <f>'Local multi year dist'!BU127</f>
        <v>32634.247067561591</v>
      </c>
      <c r="BD127" s="63">
        <f>'Local multi year dist'!BV127</f>
        <v>32634.247067561591</v>
      </c>
      <c r="BE127" s="63">
        <f>'Local multi year dist'!BW127</f>
        <v>23554.144387792297</v>
      </c>
      <c r="BF127" s="63"/>
      <c r="BG127" s="63"/>
      <c r="BH127" s="63"/>
      <c r="BI127" s="63"/>
      <c r="BJ127" s="63"/>
      <c r="BK127" s="63"/>
      <c r="BL127" s="63"/>
      <c r="BM127" s="63"/>
      <c r="BN127" s="63"/>
      <c r="BO127" s="63"/>
      <c r="BP127" s="63"/>
      <c r="BQ127" s="63"/>
    </row>
    <row r="128" spans="1:69" x14ac:dyDescent="0.25">
      <c r="A128" t="str">
        <f>'Local multi year dist'!S128</f>
        <v>Warren County</v>
      </c>
      <c r="B128" s="63">
        <f>'Local multi year dist'!T128</f>
        <v>31148.239836085566</v>
      </c>
      <c r="C128" s="63">
        <f>'Local multi year dist'!U128</f>
        <v>197185.33985613912</v>
      </c>
      <c r="D128" s="63">
        <f>'Local multi year dist'!V128</f>
        <v>243179.97979460788</v>
      </c>
      <c r="E128" s="63">
        <f>'Local multi year dist'!W128</f>
        <v>93258.98389912417</v>
      </c>
      <c r="F128" s="63">
        <f>'Local multi year dist'!X128</f>
        <v>100212.80493129425</v>
      </c>
      <c r="G128" s="63">
        <f>'Local multi year dist'!Y128</f>
        <v>106502.30077547592</v>
      </c>
      <c r="H128" s="63">
        <f>'Local multi year dist'!Z128</f>
        <v>81140.111516654972</v>
      </c>
      <c r="I128" s="63">
        <f>'Local multi year dist'!AA128</f>
        <v>113718.45735163288</v>
      </c>
      <c r="J128" s="63">
        <f>'Local multi year dist'!AB128</f>
        <v>114235.86899819074</v>
      </c>
      <c r="K128" s="63">
        <f>'Local multi year dist'!AC128</f>
        <v>106958.23538202509</v>
      </c>
      <c r="L128" s="63">
        <f>'Local multi year dist'!AD128</f>
        <v>99257.897327448503</v>
      </c>
      <c r="M128" s="63">
        <f>'Local multi year dist'!AE128</f>
        <v>91250.269023688496</v>
      </c>
      <c r="N128" s="63">
        <f>'Local multi year dist'!AF128</f>
        <v>69637.291706053482</v>
      </c>
      <c r="O128" s="63">
        <f>'Local multi year dist'!AG128</f>
        <v>69637.291706053482</v>
      </c>
      <c r="P128" s="63">
        <f>'Local multi year dist'!AH128</f>
        <v>69637.291706053482</v>
      </c>
      <c r="Q128" s="63">
        <f>'Local multi year dist'!AI128</f>
        <v>57858.483897166305</v>
      </c>
      <c r="R128" s="63">
        <f>'Local multi year dist'!AJ128</f>
        <v>57858.483897166305</v>
      </c>
      <c r="S128" s="63">
        <f>'Local multi year dist'!AK128</f>
        <v>40507.716741676566</v>
      </c>
      <c r="T128" s="63"/>
      <c r="U128" s="63">
        <f>'Local multi year dist'!AM128</f>
        <v>0</v>
      </c>
      <c r="V128" s="63">
        <f>'Local multi year dist'!AN128</f>
        <v>71352.005033483671</v>
      </c>
      <c r="W128" s="63">
        <f>'Local multi year dist'!AO128</f>
        <v>82593.616612766782</v>
      </c>
      <c r="X128" s="63">
        <f>'Local multi year dist'!AP128</f>
        <v>32163.125719655767</v>
      </c>
      <c r="Y128" s="63">
        <f>'Local multi year dist'!AQ128</f>
        <v>35288.025925253729</v>
      </c>
      <c r="Z128" s="63">
        <f>'Local multi year dist'!AR128</f>
        <v>37594.174401453674</v>
      </c>
      <c r="AA128" s="63">
        <f>'Local multi year dist'!AS128</f>
        <v>28294.70500655266</v>
      </c>
      <c r="AB128" s="63">
        <f>'Local multi year dist'!AT128</f>
        <v>40240.098479377899</v>
      </c>
      <c r="AC128" s="63">
        <f>'Local multi year dist'!AU128</f>
        <v>40481.611887961823</v>
      </c>
      <c r="AD128" s="63">
        <f>'Local multi year dist'!AV128</f>
        <v>37648.678308365212</v>
      </c>
      <c r="AE128" s="63">
        <f>'Local multi year dist'!AW128</f>
        <v>34826.043045955375</v>
      </c>
      <c r="AF128" s="63">
        <f>'Local multi year dist'!AX128</f>
        <v>31889.912667910037</v>
      </c>
      <c r="AG128" s="63">
        <f>'Local multi year dist'!AY128</f>
        <v>24897.478829851654</v>
      </c>
      <c r="AH128" s="63">
        <f>'Local multi year dist'!AZ128</f>
        <v>24897.478829851654</v>
      </c>
      <c r="AI128" s="63">
        <f>'Local multi year dist'!BA128</f>
        <v>24897.478829851654</v>
      </c>
      <c r="AJ128" s="63">
        <f>'Local multi year dist'!BB128</f>
        <v>20578.582633259692</v>
      </c>
      <c r="AK128" s="63">
        <f>'Local multi year dist'!BC128</f>
        <v>20578.582633259692</v>
      </c>
      <c r="AL128" s="63">
        <f>'Local multi year dist'!BD128</f>
        <v>14852.829471948075</v>
      </c>
      <c r="AN128" s="63">
        <f>'Local multi year dist'!BF128</f>
        <v>0</v>
      </c>
      <c r="AO128" s="63">
        <f>'Local multi year dist'!BG128</f>
        <v>17838.001258370918</v>
      </c>
      <c r="AP128" s="63">
        <f>'Local multi year dist'!BH128</f>
        <v>20648.404153191696</v>
      </c>
      <c r="AQ128" s="63">
        <f>'Local multi year dist'!BI128</f>
        <v>8040.7814299139418</v>
      </c>
      <c r="AR128" s="63">
        <f>'Local multi year dist'!BJ128</f>
        <v>8822.0064813134322</v>
      </c>
      <c r="AS128" s="63">
        <f>'Local multi year dist'!BK128</f>
        <v>9398.5436003634186</v>
      </c>
      <c r="AT128" s="63">
        <f>'Local multi year dist'!BL128</f>
        <v>7073.676251638165</v>
      </c>
      <c r="AU128" s="63">
        <f>'Local multi year dist'!BM128</f>
        <v>10060.024619844475</v>
      </c>
      <c r="AV128" s="63">
        <f>'Local multi year dist'!BN128</f>
        <v>10120.402971990456</v>
      </c>
      <c r="AW128" s="63">
        <f>'Local multi year dist'!BO128</f>
        <v>9412.1695770913029</v>
      </c>
      <c r="AX128" s="63">
        <f>'Local multi year dist'!BP128</f>
        <v>8706.5107614888439</v>
      </c>
      <c r="AY128" s="63">
        <f>'Local multi year dist'!BQ128</f>
        <v>7972.4781669775093</v>
      </c>
      <c r="AZ128" s="63">
        <f>'Local multi year dist'!BR128</f>
        <v>6224.3697074629135</v>
      </c>
      <c r="BA128" s="63">
        <f>'Local multi year dist'!BS128</f>
        <v>6224.3697074629135</v>
      </c>
      <c r="BB128" s="63">
        <f>'Local multi year dist'!BT128</f>
        <v>6224.3697074629135</v>
      </c>
      <c r="BC128" s="63">
        <f>'Local multi year dist'!BU128</f>
        <v>5144.6456583149229</v>
      </c>
      <c r="BD128" s="63">
        <f>'Local multi year dist'!BV128</f>
        <v>5144.6456583149229</v>
      </c>
      <c r="BE128" s="63">
        <f>'Local multi year dist'!BW128</f>
        <v>3713.2073679870186</v>
      </c>
      <c r="BF128" s="63"/>
      <c r="BG128" s="63"/>
      <c r="BH128" s="63"/>
      <c r="BI128" s="63"/>
      <c r="BJ128" s="63"/>
      <c r="BK128" s="63"/>
      <c r="BL128" s="63"/>
      <c r="BM128" s="63"/>
      <c r="BN128" s="63"/>
      <c r="BO128" s="63"/>
      <c r="BP128" s="63"/>
      <c r="BQ128" s="63"/>
    </row>
    <row r="129" spans="1:69" x14ac:dyDescent="0.25">
      <c r="A129" t="str">
        <f>'Local multi year dist'!S129</f>
        <v>Washington County</v>
      </c>
      <c r="B129" s="63">
        <f>'Local multi year dist'!T129</f>
        <v>40500.844486607326</v>
      </c>
      <c r="C129" s="63">
        <f>'Local multi year dist'!U129</f>
        <v>256392.4262359197</v>
      </c>
      <c r="D129" s="63">
        <f>'Local multi year dist'!V129</f>
        <v>316197.46720029943</v>
      </c>
      <c r="E129" s="63">
        <f>'Local multi year dist'!W129</f>
        <v>121261.0286730126</v>
      </c>
      <c r="F129" s="63">
        <f>'Local multi year dist'!X129</f>
        <v>130302.81163390214</v>
      </c>
      <c r="G129" s="63">
        <f>'Local multi year dist'!Y129</f>
        <v>138480.79839735507</v>
      </c>
      <c r="H129" s="63">
        <f>'Local multi year dist'!Z129</f>
        <v>105503.33037935814</v>
      </c>
      <c r="I129" s="63">
        <f>'Local multi year dist'!AA129</f>
        <v>147863.68606034768</v>
      </c>
      <c r="J129" s="63">
        <f>'Local multi year dist'!AB129</f>
        <v>148536.45629529757</v>
      </c>
      <c r="K129" s="63">
        <f>'Local multi year dist'!AC129</f>
        <v>139073.6324288472</v>
      </c>
      <c r="L129" s="63">
        <f>'Local multi year dist'!AD129</f>
        <v>129061.18242576851</v>
      </c>
      <c r="M129" s="63">
        <f>'Local multi year dist'!AE129</f>
        <v>118649.17486631034</v>
      </c>
      <c r="N129" s="63">
        <f>'Local multi year dist'!AF129</f>
        <v>90546.661278367174</v>
      </c>
      <c r="O129" s="63">
        <f>'Local multi year dist'!AG129</f>
        <v>90546.661278367174</v>
      </c>
      <c r="P129" s="63">
        <f>'Local multi year dist'!AH129</f>
        <v>90546.661278367174</v>
      </c>
      <c r="Q129" s="63">
        <f>'Local multi year dist'!AI129</f>
        <v>75231.135720075225</v>
      </c>
      <c r="R129" s="63">
        <f>'Local multi year dist'!AJ129</f>
        <v>75231.135720075225</v>
      </c>
      <c r="S129" s="63">
        <f>'Local multi year dist'!AK129</f>
        <v>52670.608191527223</v>
      </c>
      <c r="T129" s="63"/>
      <c r="U129" s="63">
        <f>'Local multi year dist'!AM129</f>
        <v>0</v>
      </c>
      <c r="V129" s="63">
        <f>'Local multi year dist'!AN129</f>
        <v>92776.236309856016</v>
      </c>
      <c r="W129" s="63">
        <f>'Local multi year dist'!AO129</f>
        <v>107393.26650955051</v>
      </c>
      <c r="X129" s="63">
        <f>'Local multi year dist'!AP129</f>
        <v>41820.461118508007</v>
      </c>
      <c r="Y129" s="63">
        <f>'Local multi year dist'!AQ129</f>
        <v>45883.647286622327</v>
      </c>
      <c r="Z129" s="63">
        <f>'Local multi year dist'!AR129</f>
        <v>48882.242433221734</v>
      </c>
      <c r="AA129" s="63">
        <f>'Local multi year dist'!AS129</f>
        <v>36790.504159956188</v>
      </c>
      <c r="AB129" s="63">
        <f>'Local multi year dist'!AT129</f>
        <v>52322.634576319026</v>
      </c>
      <c r="AC129" s="63">
        <f>'Local multi year dist'!AU129</f>
        <v>52636.665065809349</v>
      </c>
      <c r="AD129" s="63">
        <f>'Local multi year dist'!AV129</f>
        <v>48953.11174299183</v>
      </c>
      <c r="AE129" s="63">
        <f>'Local multi year dist'!AW129</f>
        <v>45282.948921372772</v>
      </c>
      <c r="AF129" s="63">
        <f>'Local multi year dist'!AX129</f>
        <v>41465.212816238105</v>
      </c>
      <c r="AG129" s="63">
        <f>'Local multi year dist'!AY129</f>
        <v>32373.223126021203</v>
      </c>
      <c r="AH129" s="63">
        <f>'Local multi year dist'!AZ129</f>
        <v>32373.223126021203</v>
      </c>
      <c r="AI129" s="63">
        <f>'Local multi year dist'!BA129</f>
        <v>32373.223126021203</v>
      </c>
      <c r="AJ129" s="63">
        <f>'Local multi year dist'!BB129</f>
        <v>26757.530421314157</v>
      </c>
      <c r="AK129" s="63">
        <f>'Local multi year dist'!BC129</f>
        <v>26757.530421314157</v>
      </c>
      <c r="AL129" s="63">
        <f>'Local multi year dist'!BD129</f>
        <v>19312.556336893314</v>
      </c>
      <c r="AN129" s="63">
        <f>'Local multi year dist'!BF129</f>
        <v>0</v>
      </c>
      <c r="AO129" s="63">
        <f>'Local multi year dist'!BG129</f>
        <v>23194.059077464004</v>
      </c>
      <c r="AP129" s="63">
        <f>'Local multi year dist'!BH129</f>
        <v>26848.316627387627</v>
      </c>
      <c r="AQ129" s="63">
        <f>'Local multi year dist'!BI129</f>
        <v>10455.115279627002</v>
      </c>
      <c r="AR129" s="63">
        <f>'Local multi year dist'!BJ129</f>
        <v>11470.911821655582</v>
      </c>
      <c r="AS129" s="63">
        <f>'Local multi year dist'!BK129</f>
        <v>12220.560608305434</v>
      </c>
      <c r="AT129" s="63">
        <f>'Local multi year dist'!BL129</f>
        <v>9197.6260399890471</v>
      </c>
      <c r="AU129" s="63">
        <f>'Local multi year dist'!BM129</f>
        <v>13080.658644079756</v>
      </c>
      <c r="AV129" s="63">
        <f>'Local multi year dist'!BN129</f>
        <v>13159.166266452337</v>
      </c>
      <c r="AW129" s="63">
        <f>'Local multi year dist'!BO129</f>
        <v>12238.277935747958</v>
      </c>
      <c r="AX129" s="63">
        <f>'Local multi year dist'!BP129</f>
        <v>11320.737230343193</v>
      </c>
      <c r="AY129" s="63">
        <f>'Local multi year dist'!BQ129</f>
        <v>10366.303204059526</v>
      </c>
      <c r="AZ129" s="63">
        <f>'Local multi year dist'!BR129</f>
        <v>8093.3057815053007</v>
      </c>
      <c r="BA129" s="63">
        <f>'Local multi year dist'!BS129</f>
        <v>8093.3057815053007</v>
      </c>
      <c r="BB129" s="63">
        <f>'Local multi year dist'!BT129</f>
        <v>8093.3057815053007</v>
      </c>
      <c r="BC129" s="63">
        <f>'Local multi year dist'!BU129</f>
        <v>6689.3826053285393</v>
      </c>
      <c r="BD129" s="63">
        <f>'Local multi year dist'!BV129</f>
        <v>6689.3826053285393</v>
      </c>
      <c r="BE129" s="63">
        <f>'Local multi year dist'!BW129</f>
        <v>4828.1390842233286</v>
      </c>
      <c r="BF129" s="63"/>
      <c r="BG129" s="63"/>
      <c r="BH129" s="63"/>
      <c r="BI129" s="63"/>
      <c r="BJ129" s="63"/>
      <c r="BK129" s="63"/>
      <c r="BL129" s="63"/>
      <c r="BM129" s="63"/>
      <c r="BN129" s="63"/>
      <c r="BO129" s="63"/>
      <c r="BP129" s="63"/>
      <c r="BQ129" s="63"/>
    </row>
    <row r="130" spans="1:69" x14ac:dyDescent="0.25">
      <c r="A130" t="str">
        <f>'Local multi year dist'!S130</f>
        <v>Waynesboro City</v>
      </c>
      <c r="B130" s="63">
        <f>'Local multi year dist'!T130</f>
        <v>14760.849948432175</v>
      </c>
      <c r="C130" s="63">
        <f>'Local multi year dist'!U130</f>
        <v>93444.227634175477</v>
      </c>
      <c r="D130" s="63">
        <f>'Local multi year dist'!V130</f>
        <v>115240.64316637408</v>
      </c>
      <c r="E130" s="63">
        <f>'Local multi year dist'!W130</f>
        <v>44194.531534441296</v>
      </c>
      <c r="F130" s="63">
        <f>'Local multi year dist'!X130</f>
        <v>47489.880143681155</v>
      </c>
      <c r="G130" s="63">
        <f>'Local multi year dist'!Y130</f>
        <v>50470.411464096229</v>
      </c>
      <c r="H130" s="63">
        <f>'Local multi year dist'!Z130</f>
        <v>38451.514987657596</v>
      </c>
      <c r="I130" s="63">
        <f>'Local multi year dist'!AA130</f>
        <v>53890.078353319434</v>
      </c>
      <c r="J130" s="63">
        <f>'Local multi year dist'!AB130</f>
        <v>54135.274734129489</v>
      </c>
      <c r="K130" s="63">
        <f>'Local multi year dist'!AC130</f>
        <v>50686.474469549685</v>
      </c>
      <c r="L130" s="63">
        <f>'Local multi year dist'!AD130</f>
        <v>47037.358655174619</v>
      </c>
      <c r="M130" s="63">
        <f>'Local multi year dist'!AE130</f>
        <v>43242.620960311855</v>
      </c>
      <c r="N130" s="63">
        <f>'Local multi year dist'!AF130</f>
        <v>33000.439803260291</v>
      </c>
      <c r="O130" s="63">
        <f>'Local multi year dist'!AG130</f>
        <v>33000.439803260291</v>
      </c>
      <c r="P130" s="63">
        <f>'Local multi year dist'!AH130</f>
        <v>33000.439803260291</v>
      </c>
      <c r="Q130" s="63">
        <f>'Local multi year dist'!AI130</f>
        <v>27418.576572677994</v>
      </c>
      <c r="R130" s="63">
        <f>'Local multi year dist'!AJ130</f>
        <v>27418.576572677994</v>
      </c>
      <c r="S130" s="63">
        <f>'Local multi year dist'!AK130</f>
        <v>19196.215636068639</v>
      </c>
      <c r="T130" s="63"/>
      <c r="U130" s="63">
        <f>'Local multi year dist'!AM130</f>
        <v>0</v>
      </c>
      <c r="V130" s="63">
        <f>'Local multi year dist'!AN130</f>
        <v>33813.025884013761</v>
      </c>
      <c r="W130" s="63">
        <f>'Local multi year dist'!AO130</f>
        <v>39140.31701101084</v>
      </c>
      <c r="X130" s="63">
        <f>'Local multi year dist'!AP130</f>
        <v>15241.794564275495</v>
      </c>
      <c r="Y130" s="63">
        <f>'Local multi year dist'!AQ130</f>
        <v>16722.6545833774</v>
      </c>
      <c r="Z130" s="63">
        <f>'Local multi year dist'!AR130</f>
        <v>17815.516067529592</v>
      </c>
      <c r="AA130" s="63">
        <f>'Local multi year dist'!AS130</f>
        <v>13408.587359502093</v>
      </c>
      <c r="AB130" s="63">
        <f>'Local multi year dist'!AT130</f>
        <v>19069.393926911434</v>
      </c>
      <c r="AC130" s="63">
        <f>'Local multi year dist'!AU130</f>
        <v>19183.8447980811</v>
      </c>
      <c r="AD130" s="63">
        <f>'Local multi year dist'!AV130</f>
        <v>17841.34494247592</v>
      </c>
      <c r="AE130" s="63">
        <f>'Local multi year dist'!AW130</f>
        <v>16503.725359897893</v>
      </c>
      <c r="AF130" s="63">
        <f>'Local multi year dist'!AX130</f>
        <v>15112.321538448212</v>
      </c>
      <c r="AG130" s="63">
        <f>'Local multi year dist'!AY130</f>
        <v>11798.674693519764</v>
      </c>
      <c r="AH130" s="63">
        <f>'Local multi year dist'!AZ130</f>
        <v>11798.674693519764</v>
      </c>
      <c r="AI130" s="63">
        <f>'Local multi year dist'!BA130</f>
        <v>11798.674693519764</v>
      </c>
      <c r="AJ130" s="63">
        <f>'Local multi year dist'!BB130</f>
        <v>9751.991508972922</v>
      </c>
      <c r="AK130" s="63">
        <f>'Local multi year dist'!BC130</f>
        <v>9751.991508972922</v>
      </c>
      <c r="AL130" s="63">
        <f>'Local multi year dist'!BD130</f>
        <v>7038.6123998918329</v>
      </c>
      <c r="AN130" s="63">
        <f>'Local multi year dist'!BF130</f>
        <v>0</v>
      </c>
      <c r="AO130" s="63">
        <f>'Local multi year dist'!BG130</f>
        <v>8453.2564710034403</v>
      </c>
      <c r="AP130" s="63">
        <f>'Local multi year dist'!BH130</f>
        <v>9785.0792527527101</v>
      </c>
      <c r="AQ130" s="63">
        <f>'Local multi year dist'!BI130</f>
        <v>3810.4486410688737</v>
      </c>
      <c r="AR130" s="63">
        <f>'Local multi year dist'!BJ130</f>
        <v>4180.66364584435</v>
      </c>
      <c r="AS130" s="63">
        <f>'Local multi year dist'!BK130</f>
        <v>4453.879016882398</v>
      </c>
      <c r="AT130" s="63">
        <f>'Local multi year dist'!BL130</f>
        <v>3352.1468398755233</v>
      </c>
      <c r="AU130" s="63">
        <f>'Local multi year dist'!BM130</f>
        <v>4767.3484817278586</v>
      </c>
      <c r="AV130" s="63">
        <f>'Local multi year dist'!BN130</f>
        <v>4795.9611995202749</v>
      </c>
      <c r="AW130" s="63">
        <f>'Local multi year dist'!BO130</f>
        <v>4460.33623561898</v>
      </c>
      <c r="AX130" s="63">
        <f>'Local multi year dist'!BP130</f>
        <v>4125.9313399744733</v>
      </c>
      <c r="AY130" s="63">
        <f>'Local multi year dist'!BQ130</f>
        <v>3778.080384612053</v>
      </c>
      <c r="AZ130" s="63">
        <f>'Local multi year dist'!BR130</f>
        <v>2949.6686733799411</v>
      </c>
      <c r="BA130" s="63">
        <f>'Local multi year dist'!BS130</f>
        <v>2949.6686733799411</v>
      </c>
      <c r="BB130" s="63">
        <f>'Local multi year dist'!BT130</f>
        <v>2949.6686733799411</v>
      </c>
      <c r="BC130" s="63">
        <f>'Local multi year dist'!BU130</f>
        <v>2437.9978772432305</v>
      </c>
      <c r="BD130" s="63">
        <f>'Local multi year dist'!BV130</f>
        <v>2437.9978772432305</v>
      </c>
      <c r="BE130" s="63">
        <f>'Local multi year dist'!BW130</f>
        <v>1759.6530999729582</v>
      </c>
      <c r="BF130" s="63"/>
      <c r="BG130" s="63"/>
      <c r="BH130" s="63"/>
      <c r="BI130" s="63"/>
      <c r="BJ130" s="63"/>
      <c r="BK130" s="63"/>
      <c r="BL130" s="63"/>
      <c r="BM130" s="63"/>
      <c r="BN130" s="63"/>
      <c r="BO130" s="63"/>
      <c r="BP130" s="63"/>
      <c r="BQ130" s="63"/>
    </row>
    <row r="131" spans="1:69" x14ac:dyDescent="0.25">
      <c r="A131" t="str">
        <f>'Local multi year dist'!S131</f>
        <v>Westmoreland County</v>
      </c>
      <c r="B131" s="63">
        <f>'Local multi year dist'!T131</f>
        <v>9067.9601611580583</v>
      </c>
      <c r="C131" s="63">
        <f>'Local multi year dist'!U131</f>
        <v>57405.131576917709</v>
      </c>
      <c r="D131" s="63">
        <f>'Local multi year dist'!V131</f>
        <v>70795.216049866169</v>
      </c>
      <c r="E131" s="63">
        <f>'Local multi year dist'!W131</f>
        <v>27149.808628596165</v>
      </c>
      <c r="F131" s="63">
        <f>'Local multi year dist'!X131</f>
        <v>29174.223889919827</v>
      </c>
      <c r="G131" s="63">
        <f>'Local multi year dist'!Y131</f>
        <v>31005.238998604567</v>
      </c>
      <c r="H131" s="63">
        <f>'Local multi year dist'!Z131</f>
        <v>23621.729592968717</v>
      </c>
      <c r="I131" s="63">
        <f>'Local multi year dist'!AA131</f>
        <v>33106.026095840862</v>
      </c>
      <c r="J131" s="63">
        <f>'Local multi year dist'!AB131</f>
        <v>33256.656379368804</v>
      </c>
      <c r="K131" s="63">
        <f>'Local multi year dist'!AC131</f>
        <v>31137.971919310134</v>
      </c>
      <c r="L131" s="63">
        <f>'Local multi year dist'!AD131</f>
        <v>28896.228595327659</v>
      </c>
      <c r="M131" s="63">
        <f>'Local multi year dist'!AE131</f>
        <v>26565.026099585521</v>
      </c>
      <c r="N131" s="63">
        <f>'Local multi year dist'!AF131</f>
        <v>20272.997454895441</v>
      </c>
      <c r="O131" s="63">
        <f>'Local multi year dist'!AG131</f>
        <v>20272.997454895441</v>
      </c>
      <c r="P131" s="63">
        <f>'Local multi year dist'!AH131</f>
        <v>20272.997454895441</v>
      </c>
      <c r="Q131" s="63">
        <f>'Local multi year dist'!AI131</f>
        <v>16843.918941342126</v>
      </c>
      <c r="R131" s="63">
        <f>'Local multi year dist'!AJ131</f>
        <v>16843.918941342126</v>
      </c>
      <c r="S131" s="63">
        <f>'Local multi year dist'!AK131</f>
        <v>11792.716492681284</v>
      </c>
      <c r="T131" s="63"/>
      <c r="U131" s="63">
        <f>'Local multi year dist'!AM131</f>
        <v>0</v>
      </c>
      <c r="V131" s="63">
        <f>'Local multi year dist'!AN131</f>
        <v>20772.189454917541</v>
      </c>
      <c r="W131" s="63">
        <f>'Local multi year dist'!AO131</f>
        <v>24044.877943403353</v>
      </c>
      <c r="X131" s="63">
        <f>'Local multi year dist'!AP131</f>
        <v>9363.4164954089119</v>
      </c>
      <c r="Y131" s="63">
        <f>'Local multi year dist'!AQ131</f>
        <v>10273.145928631295</v>
      </c>
      <c r="Z131" s="63">
        <f>'Local multi year dist'!AR131</f>
        <v>10944.518135149032</v>
      </c>
      <c r="AA131" s="63">
        <f>'Local multi year dist'!AS131</f>
        <v>8237.2313530825522</v>
      </c>
      <c r="AB131" s="63">
        <f>'Local multi year dist'!AT131</f>
        <v>11714.806737469007</v>
      </c>
      <c r="AC131" s="63">
        <f>'Local multi year dist'!AU131</f>
        <v>11785.116776782605</v>
      </c>
      <c r="AD131" s="63">
        <f>'Local multi year dist'!AV131</f>
        <v>10960.385460529285</v>
      </c>
      <c r="AE131" s="63">
        <f>'Local multi year dist'!AW131</f>
        <v>10138.652218339477</v>
      </c>
      <c r="AF131" s="63">
        <f>'Local multi year dist'!AX131</f>
        <v>9283.8779699006918</v>
      </c>
      <c r="AG131" s="63">
        <f>'Local multi year dist'!AY131</f>
        <v>7248.2216436774306</v>
      </c>
      <c r="AH131" s="63">
        <f>'Local multi year dist'!AZ131</f>
        <v>7248.2216436774306</v>
      </c>
      <c r="AI131" s="63">
        <f>'Local multi year dist'!BA131</f>
        <v>7248.2216436774306</v>
      </c>
      <c r="AJ131" s="63">
        <f>'Local multi year dist'!BB131</f>
        <v>5990.89285537455</v>
      </c>
      <c r="AK131" s="63">
        <f>'Local multi year dist'!BC131</f>
        <v>5990.89285537455</v>
      </c>
      <c r="AL131" s="63">
        <f>'Local multi year dist'!BD131</f>
        <v>4323.9960473164701</v>
      </c>
      <c r="AN131" s="63">
        <f>'Local multi year dist'!BF131</f>
        <v>0</v>
      </c>
      <c r="AO131" s="63">
        <f>'Local multi year dist'!BG131</f>
        <v>5193.0473637293853</v>
      </c>
      <c r="AP131" s="63">
        <f>'Local multi year dist'!BH131</f>
        <v>6011.2194858508383</v>
      </c>
      <c r="AQ131" s="63">
        <f>'Local multi year dist'!BI131</f>
        <v>2340.854123852228</v>
      </c>
      <c r="AR131" s="63">
        <f>'Local multi year dist'!BJ131</f>
        <v>2568.2864821578237</v>
      </c>
      <c r="AS131" s="63">
        <f>'Local multi year dist'!BK131</f>
        <v>2736.129533787258</v>
      </c>
      <c r="AT131" s="63">
        <f>'Local multi year dist'!BL131</f>
        <v>2059.3078382706381</v>
      </c>
      <c r="AU131" s="63">
        <f>'Local multi year dist'!BM131</f>
        <v>2928.7016843672518</v>
      </c>
      <c r="AV131" s="63">
        <f>'Local multi year dist'!BN131</f>
        <v>2946.2791941956511</v>
      </c>
      <c r="AW131" s="63">
        <f>'Local multi year dist'!BO131</f>
        <v>2740.0963651323214</v>
      </c>
      <c r="AX131" s="63">
        <f>'Local multi year dist'!BP131</f>
        <v>2534.6630545848693</v>
      </c>
      <c r="AY131" s="63">
        <f>'Local multi year dist'!BQ131</f>
        <v>2320.969492475173</v>
      </c>
      <c r="AZ131" s="63">
        <f>'Local multi year dist'!BR131</f>
        <v>1812.0554109193577</v>
      </c>
      <c r="BA131" s="63">
        <f>'Local multi year dist'!BS131</f>
        <v>1812.0554109193577</v>
      </c>
      <c r="BB131" s="63">
        <f>'Local multi year dist'!BT131</f>
        <v>1812.0554109193577</v>
      </c>
      <c r="BC131" s="63">
        <f>'Local multi year dist'!BU131</f>
        <v>1497.7232138436375</v>
      </c>
      <c r="BD131" s="63">
        <f>'Local multi year dist'!BV131</f>
        <v>1497.7232138436375</v>
      </c>
      <c r="BE131" s="63">
        <f>'Local multi year dist'!BW131</f>
        <v>1080.9990118291175</v>
      </c>
      <c r="BF131" s="63"/>
      <c r="BG131" s="63"/>
      <c r="BH131" s="63"/>
      <c r="BI131" s="63"/>
      <c r="BJ131" s="63"/>
      <c r="BK131" s="63"/>
      <c r="BL131" s="63"/>
      <c r="BM131" s="63"/>
      <c r="BN131" s="63"/>
      <c r="BO131" s="63"/>
      <c r="BP131" s="63"/>
      <c r="BQ131" s="63"/>
    </row>
    <row r="132" spans="1:69" x14ac:dyDescent="0.25">
      <c r="A132" t="str">
        <f>'Local multi year dist'!S132</f>
        <v>Williamsburg City</v>
      </c>
      <c r="B132" s="63">
        <f>'Local multi year dist'!T132</f>
        <v>3497.060869325529</v>
      </c>
      <c r="C132" s="63">
        <f>'Local multi year dist'!U132</f>
        <v>22138.301863744051</v>
      </c>
      <c r="D132" s="63">
        <f>'Local multi year dist'!V132</f>
        <v>27302.190942997717</v>
      </c>
      <c r="E132" s="63">
        <f>'Local multi year dist'!W132</f>
        <v>10470.329785019148</v>
      </c>
      <c r="F132" s="63">
        <f>'Local multi year dist'!X132</f>
        <v>11251.045984453387</v>
      </c>
      <c r="G132" s="63">
        <f>'Local multi year dist'!Y132</f>
        <v>11957.17737165916</v>
      </c>
      <c r="H132" s="63">
        <f>'Local multi year dist'!Z132</f>
        <v>9109.7253138803117</v>
      </c>
      <c r="I132" s="63">
        <f>'Local multi year dist'!AA132</f>
        <v>12767.346386736835</v>
      </c>
      <c r="J132" s="63">
        <f>'Local multi year dist'!AB132</f>
        <v>12825.436989352991</v>
      </c>
      <c r="K132" s="63">
        <f>'Local multi year dist'!AC132</f>
        <v>12008.365852290006</v>
      </c>
      <c r="L132" s="63">
        <f>'Local multi year dist'!AD132</f>
        <v>11143.837036763132</v>
      </c>
      <c r="M132" s="63">
        <f>'Local multi year dist'!AE132</f>
        <v>10244.808271589034</v>
      </c>
      <c r="N132" s="63">
        <f>'Local multi year dist'!AF132</f>
        <v>7818.286013995551</v>
      </c>
      <c r="O132" s="63">
        <f>'Local multi year dist'!AG132</f>
        <v>7818.286013995551</v>
      </c>
      <c r="P132" s="63">
        <f>'Local multi year dist'!AH132</f>
        <v>7818.286013995551</v>
      </c>
      <c r="Q132" s="63">
        <f>'Local multi year dist'!AI132</f>
        <v>6495.8611163920314</v>
      </c>
      <c r="R132" s="63">
        <f>'Local multi year dist'!AJ132</f>
        <v>6495.8611163920314</v>
      </c>
      <c r="S132" s="63">
        <f>'Local multi year dist'!AK132</f>
        <v>4547.8637595093742</v>
      </c>
      <c r="T132" s="63"/>
      <c r="U132" s="63">
        <f>'Local multi year dist'!AM132</f>
        <v>0</v>
      </c>
      <c r="V132" s="63">
        <f>'Local multi year dist'!AN132</f>
        <v>8010.7995207305321</v>
      </c>
      <c r="W132" s="63">
        <f>'Local multi year dist'!AO132</f>
        <v>9272.9125701017401</v>
      </c>
      <c r="X132" s="63">
        <f>'Local multi year dist'!AP132</f>
        <v>3611.0036708751859</v>
      </c>
      <c r="Y132" s="63">
        <f>'Local multi year dist'!AQ132</f>
        <v>3961.8410307726067</v>
      </c>
      <c r="Z132" s="63">
        <f>'Local multi year dist'!AR132</f>
        <v>4220.7558727480573</v>
      </c>
      <c r="AA132" s="63">
        <f>'Local multi year dist'!AS132</f>
        <v>3176.6901182291458</v>
      </c>
      <c r="AB132" s="63">
        <f>'Local multi year dist'!AT132</f>
        <v>4517.8178449432044</v>
      </c>
      <c r="AC132" s="63">
        <f>'Local multi year dist'!AU132</f>
        <v>4544.9329273690764</v>
      </c>
      <c r="AD132" s="63">
        <f>'Local multi year dist'!AV132</f>
        <v>4226.8751103386476</v>
      </c>
      <c r="AE132" s="63">
        <f>'Local multi year dist'!AW132</f>
        <v>3909.9735012430269</v>
      </c>
      <c r="AF132" s="63">
        <f>'Local multi year dist'!AX132</f>
        <v>3580.3296206791902</v>
      </c>
      <c r="AG132" s="63">
        <f>'Local multi year dist'!AY132</f>
        <v>2795.2783020460047</v>
      </c>
      <c r="AH132" s="63">
        <f>'Local multi year dist'!AZ132</f>
        <v>2795.2783020460047</v>
      </c>
      <c r="AI132" s="63">
        <f>'Local multi year dist'!BA132</f>
        <v>2795.2783020460047</v>
      </c>
      <c r="AJ132" s="63">
        <f>'Local multi year dist'!BB132</f>
        <v>2310.3891729247143</v>
      </c>
      <c r="AK132" s="63">
        <f>'Local multi year dist'!BC132</f>
        <v>2310.3891729247143</v>
      </c>
      <c r="AL132" s="63">
        <f>'Local multi year dist'!BD132</f>
        <v>1667.5500451534369</v>
      </c>
      <c r="AN132" s="63">
        <f>'Local multi year dist'!BF132</f>
        <v>0</v>
      </c>
      <c r="AO132" s="63">
        <f>'Local multi year dist'!BG132</f>
        <v>2002.699880182633</v>
      </c>
      <c r="AP132" s="63">
        <f>'Local multi year dist'!BH132</f>
        <v>2318.228142525435</v>
      </c>
      <c r="AQ132" s="63">
        <f>'Local multi year dist'!BI132</f>
        <v>902.75091771879647</v>
      </c>
      <c r="AR132" s="63">
        <f>'Local multi year dist'!BJ132</f>
        <v>990.46025769315168</v>
      </c>
      <c r="AS132" s="63">
        <f>'Local multi year dist'!BK132</f>
        <v>1055.1889681870143</v>
      </c>
      <c r="AT132" s="63">
        <f>'Local multi year dist'!BL132</f>
        <v>794.17252955728645</v>
      </c>
      <c r="AU132" s="63">
        <f>'Local multi year dist'!BM132</f>
        <v>1129.4544612358011</v>
      </c>
      <c r="AV132" s="63">
        <f>'Local multi year dist'!BN132</f>
        <v>1136.2332318422691</v>
      </c>
      <c r="AW132" s="63">
        <f>'Local multi year dist'!BO132</f>
        <v>1056.7187775846619</v>
      </c>
      <c r="AX132" s="63">
        <f>'Local multi year dist'!BP132</f>
        <v>977.49337531075673</v>
      </c>
      <c r="AY132" s="63">
        <f>'Local multi year dist'!BQ132</f>
        <v>895.08240516979754</v>
      </c>
      <c r="AZ132" s="63">
        <f>'Local multi year dist'!BR132</f>
        <v>698.81957551150117</v>
      </c>
      <c r="BA132" s="63">
        <f>'Local multi year dist'!BS132</f>
        <v>698.81957551150117</v>
      </c>
      <c r="BB132" s="63">
        <f>'Local multi year dist'!BT132</f>
        <v>698.81957551150117</v>
      </c>
      <c r="BC132" s="63">
        <f>'Local multi year dist'!BU132</f>
        <v>577.59729323117858</v>
      </c>
      <c r="BD132" s="63">
        <f>'Local multi year dist'!BV132</f>
        <v>577.59729323117858</v>
      </c>
      <c r="BE132" s="63">
        <f>'Local multi year dist'!BW132</f>
        <v>416.88751128835924</v>
      </c>
      <c r="BF132" s="63"/>
      <c r="BG132" s="63"/>
      <c r="BH132" s="63"/>
      <c r="BI132" s="63"/>
      <c r="BJ132" s="63"/>
      <c r="BK132" s="63"/>
      <c r="BL132" s="63"/>
      <c r="BM132" s="63"/>
      <c r="BN132" s="63"/>
      <c r="BO132" s="63"/>
      <c r="BP132" s="63"/>
      <c r="BQ132" s="63"/>
    </row>
    <row r="133" spans="1:69" x14ac:dyDescent="0.25">
      <c r="A133" t="str">
        <f>'Local multi year dist'!S133</f>
        <v>Winchester City</v>
      </c>
      <c r="B133" s="63">
        <f>'Local multi year dist'!T133</f>
        <v>26390.610513863623</v>
      </c>
      <c r="C133" s="63">
        <f>'Local multi year dist'!U133</f>
        <v>167066.95243685943</v>
      </c>
      <c r="D133" s="63">
        <f>'Local multi year dist'!V133</f>
        <v>206036.30141866911</v>
      </c>
      <c r="E133" s="63">
        <f>'Local multi year dist'!W133</f>
        <v>79014.465470667885</v>
      </c>
      <c r="F133" s="63">
        <f>'Local multi year dist'!X133</f>
        <v>84906.149347793704</v>
      </c>
      <c r="G133" s="63">
        <f>'Local multi year dist'!Y133</f>
        <v>90234.978072172176</v>
      </c>
      <c r="H133" s="63">
        <f>'Local multi year dist'!Z133</f>
        <v>68746.648008236414</v>
      </c>
      <c r="I133" s="63">
        <f>'Local multi year dist'!AA133</f>
        <v>96348.927965025796</v>
      </c>
      <c r="J133" s="63">
        <f>'Local multi year dist'!AB133</f>
        <v>96787.309373140743</v>
      </c>
      <c r="K133" s="63">
        <f>'Local multi year dist'!AC133</f>
        <v>90621.272536467746</v>
      </c>
      <c r="L133" s="63">
        <f>'Local multi year dist'!AD133</f>
        <v>84097.09577743354</v>
      </c>
      <c r="M133" s="63">
        <f>'Local multi year dist'!AE133</f>
        <v>77312.564747224344</v>
      </c>
      <c r="N133" s="63">
        <f>'Local multi year dist'!AF133</f>
        <v>59000.786314920006</v>
      </c>
      <c r="O133" s="63">
        <f>'Local multi year dist'!AG133</f>
        <v>59000.786314920006</v>
      </c>
      <c r="P133" s="63">
        <f>'Local multi year dist'!AH133</f>
        <v>59000.786314920006</v>
      </c>
      <c r="Q133" s="63">
        <f>'Local multi year dist'!AI133</f>
        <v>49021.091448121333</v>
      </c>
      <c r="R133" s="63">
        <f>'Local multi year dist'!AJ133</f>
        <v>49021.091448121333</v>
      </c>
      <c r="S133" s="63">
        <f>'Local multi year dist'!AK133</f>
        <v>34320.50674327428</v>
      </c>
      <c r="T133" s="63"/>
      <c r="U133" s="63">
        <f>'Local multi year dist'!AM133</f>
        <v>0</v>
      </c>
      <c r="V133" s="63">
        <f>'Local multi year dist'!AN133</f>
        <v>60453.591732024688</v>
      </c>
      <c r="W133" s="63">
        <f>'Local multi year dist'!AO133</f>
        <v>69978.142534837665</v>
      </c>
      <c r="X133" s="63">
        <f>'Local multi year dist'!AP133</f>
        <v>27250.481190674407</v>
      </c>
      <c r="Y133" s="63">
        <f>'Local multi year dist'!AQ133</f>
        <v>29898.079406644483</v>
      </c>
      <c r="Z133" s="63">
        <f>'Local multi year dist'!AR133</f>
        <v>31851.983272249923</v>
      </c>
      <c r="AA133" s="63">
        <f>'Local multi year dist'!AS133</f>
        <v>23972.928915473472</v>
      </c>
      <c r="AB133" s="63">
        <f>'Local multi year dist'!AT133</f>
        <v>34093.764899629583</v>
      </c>
      <c r="AC133" s="63">
        <f>'Local multi year dist'!AU133</f>
        <v>34298.389184448082</v>
      </c>
      <c r="AD133" s="63">
        <f>'Local multi year dist'!AV133</f>
        <v>31898.162169881238</v>
      </c>
      <c r="AE133" s="63">
        <f>'Local multi year dist'!AW133</f>
        <v>29506.660491938699</v>
      </c>
      <c r="AF133" s="63">
        <f>'Local multi year dist'!AX133</f>
        <v>27018.999114195325</v>
      </c>
      <c r="AG133" s="63">
        <f>'Local multi year dist'!AY133</f>
        <v>21094.600209626275</v>
      </c>
      <c r="AH133" s="63">
        <f>'Local multi year dist'!AZ133</f>
        <v>21094.600209626275</v>
      </c>
      <c r="AI133" s="63">
        <f>'Local multi year dist'!BA133</f>
        <v>21094.600209626275</v>
      </c>
      <c r="AJ133" s="63">
        <f>'Local multi year dist'!BB133</f>
        <v>17435.378758466763</v>
      </c>
      <c r="AK133" s="63">
        <f>'Local multi year dist'!BC133</f>
        <v>17435.378758466763</v>
      </c>
      <c r="AL133" s="63">
        <f>'Local multi year dist'!BD133</f>
        <v>12584.185805867235</v>
      </c>
      <c r="AN133" s="63">
        <f>'Local multi year dist'!BF133</f>
        <v>0</v>
      </c>
      <c r="AO133" s="63">
        <f>'Local multi year dist'!BG133</f>
        <v>15113.397933006172</v>
      </c>
      <c r="AP133" s="63">
        <f>'Local multi year dist'!BH133</f>
        <v>17494.535633709416</v>
      </c>
      <c r="AQ133" s="63">
        <f>'Local multi year dist'!BI133</f>
        <v>6812.6202976686018</v>
      </c>
      <c r="AR133" s="63">
        <f>'Local multi year dist'!BJ133</f>
        <v>7474.5198516611208</v>
      </c>
      <c r="AS133" s="63">
        <f>'Local multi year dist'!BK133</f>
        <v>7962.9958180624808</v>
      </c>
      <c r="AT133" s="63">
        <f>'Local multi year dist'!BL133</f>
        <v>5993.2322288683681</v>
      </c>
      <c r="AU133" s="63">
        <f>'Local multi year dist'!BM133</f>
        <v>8523.4412249073957</v>
      </c>
      <c r="AV133" s="63">
        <f>'Local multi year dist'!BN133</f>
        <v>8574.5972961120206</v>
      </c>
      <c r="AW133" s="63">
        <f>'Local multi year dist'!BO133</f>
        <v>7974.5405424703094</v>
      </c>
      <c r="AX133" s="63">
        <f>'Local multi year dist'!BP133</f>
        <v>7376.6651229846748</v>
      </c>
      <c r="AY133" s="63">
        <f>'Local multi year dist'!BQ133</f>
        <v>6754.7497785488313</v>
      </c>
      <c r="AZ133" s="63">
        <f>'Local multi year dist'!BR133</f>
        <v>5273.6500524065686</v>
      </c>
      <c r="BA133" s="63">
        <f>'Local multi year dist'!BS133</f>
        <v>5273.6500524065686</v>
      </c>
      <c r="BB133" s="63">
        <f>'Local multi year dist'!BT133</f>
        <v>5273.6500524065686</v>
      </c>
      <c r="BC133" s="63">
        <f>'Local multi year dist'!BU133</f>
        <v>4358.8446896166906</v>
      </c>
      <c r="BD133" s="63">
        <f>'Local multi year dist'!BV133</f>
        <v>4358.8446896166906</v>
      </c>
      <c r="BE133" s="63">
        <f>'Local multi year dist'!BW133</f>
        <v>3146.0464514668088</v>
      </c>
      <c r="BF133" s="63"/>
      <c r="BG133" s="63"/>
      <c r="BH133" s="63"/>
      <c r="BI133" s="63"/>
      <c r="BJ133" s="63"/>
      <c r="BK133" s="63"/>
      <c r="BL133" s="63"/>
      <c r="BM133" s="63"/>
      <c r="BN133" s="63"/>
      <c r="BO133" s="63"/>
      <c r="BP133" s="63"/>
      <c r="BQ133" s="63"/>
    </row>
    <row r="134" spans="1:69" x14ac:dyDescent="0.25">
      <c r="A134" t="str">
        <f>'Local multi year dist'!S134</f>
        <v>Wise County</v>
      </c>
      <c r="B134" s="63">
        <f>'Local multi year dist'!T134</f>
        <v>71405.103331809631</v>
      </c>
      <c r="C134" s="63">
        <f>'Local multi year dist'!U134</f>
        <v>452033.23340389016</v>
      </c>
      <c r="D134" s="63">
        <f>'Local multi year dist'!V134</f>
        <v>557472.64297562779</v>
      </c>
      <c r="E134" s="63">
        <f>'Local multi year dist'!W134</f>
        <v>213789.5244476003</v>
      </c>
      <c r="F134" s="63">
        <f>'Local multi year dist'!X134</f>
        <v>229730.65986860637</v>
      </c>
      <c r="G134" s="63">
        <f>'Local multi year dist'!Y134</f>
        <v>244148.87749573821</v>
      </c>
      <c r="H134" s="63">
        <f>'Local multi year dist'!Z134</f>
        <v>186007.87966481195</v>
      </c>
      <c r="I134" s="63">
        <f>'Local multi year dist'!AA134</f>
        <v>260691.3983152312</v>
      </c>
      <c r="J134" s="63">
        <f>'Local multi year dist'!AB134</f>
        <v>261877.52736399826</v>
      </c>
      <c r="K134" s="63">
        <f>'Local multi year dist'!AC134</f>
        <v>245194.07484443317</v>
      </c>
      <c r="L134" s="63">
        <f>'Local multi year dist'!AD134</f>
        <v>227541.60275065189</v>
      </c>
      <c r="M134" s="63">
        <f>'Local multi year dist'!AE134</f>
        <v>209184.68982453889</v>
      </c>
      <c r="N134" s="63">
        <f>'Local multi year dist'!AF134</f>
        <v>159638.49116949056</v>
      </c>
      <c r="O134" s="63">
        <f>'Local multi year dist'!AG134</f>
        <v>159638.49116949056</v>
      </c>
      <c r="P134" s="63">
        <f>'Local multi year dist'!AH134</f>
        <v>159638.49116949056</v>
      </c>
      <c r="Q134" s="63">
        <f>'Local multi year dist'!AI134</f>
        <v>132636.42000446984</v>
      </c>
      <c r="R134" s="63">
        <f>'Local multi year dist'!AJ134</f>
        <v>132636.42000446984</v>
      </c>
      <c r="S134" s="63">
        <f>'Local multi year dist'!AK134</f>
        <v>92861.032112772795</v>
      </c>
      <c r="T134" s="63"/>
      <c r="U134" s="63">
        <f>'Local multi year dist'!AM134</f>
        <v>0</v>
      </c>
      <c r="V134" s="63">
        <f>'Local multi year dist'!AN134</f>
        <v>163569.34835352108</v>
      </c>
      <c r="W134" s="63">
        <f>'Local multi year dist'!AO134</f>
        <v>189339.93573370532</v>
      </c>
      <c r="X134" s="63">
        <f>'Local multi year dist'!AP134</f>
        <v>73731.656349497978</v>
      </c>
      <c r="Y134" s="63">
        <f>'Local multi year dist'!AQ134</f>
        <v>80895.265698101139</v>
      </c>
      <c r="Z134" s="63">
        <f>'Local multi year dist'!AR134</f>
        <v>86181.945494716143</v>
      </c>
      <c r="AA134" s="63">
        <f>'Local multi year dist'!AS134</f>
        <v>64863.579623376507</v>
      </c>
      <c r="AB134" s="63">
        <f>'Local multi year dist'!AT134</f>
        <v>92247.536461863579</v>
      </c>
      <c r="AC134" s="63">
        <f>'Local multi year dist'!AU134</f>
        <v>92801.188610001132</v>
      </c>
      <c r="AD134" s="63">
        <f>'Local multi year dist'!AV134</f>
        <v>86306.891787844957</v>
      </c>
      <c r="AE134" s="63">
        <f>'Local multi year dist'!AW134</f>
        <v>79836.203118404126</v>
      </c>
      <c r="AF134" s="63">
        <f>'Local multi year dist'!AX134</f>
        <v>73105.335045496031</v>
      </c>
      <c r="AG134" s="63">
        <f>'Local multi year dist'!AY134</f>
        <v>57075.68253945098</v>
      </c>
      <c r="AH134" s="63">
        <f>'Local multi year dist'!AZ134</f>
        <v>57075.68253945098</v>
      </c>
      <c r="AI134" s="63">
        <f>'Local multi year dist'!BA134</f>
        <v>57075.68253945098</v>
      </c>
      <c r="AJ134" s="63">
        <f>'Local multi year dist'!BB134</f>
        <v>47174.923112276723</v>
      </c>
      <c r="AK134" s="63">
        <f>'Local multi year dist'!BC134</f>
        <v>47174.923112276723</v>
      </c>
      <c r="AL134" s="63">
        <f>'Local multi year dist'!BD134</f>
        <v>34049.045108016689</v>
      </c>
      <c r="AN134" s="63">
        <f>'Local multi year dist'!BF134</f>
        <v>0</v>
      </c>
      <c r="AO134" s="63">
        <f>'Local multi year dist'!BG134</f>
        <v>40892.337088380271</v>
      </c>
      <c r="AP134" s="63">
        <f>'Local multi year dist'!BH134</f>
        <v>47334.983933426331</v>
      </c>
      <c r="AQ134" s="63">
        <f>'Local multi year dist'!BI134</f>
        <v>18432.914087374495</v>
      </c>
      <c r="AR134" s="63">
        <f>'Local multi year dist'!BJ134</f>
        <v>20223.816424525285</v>
      </c>
      <c r="AS134" s="63">
        <f>'Local multi year dist'!BK134</f>
        <v>21545.486373679036</v>
      </c>
      <c r="AT134" s="63">
        <f>'Local multi year dist'!BL134</f>
        <v>16215.894905844127</v>
      </c>
      <c r="AU134" s="63">
        <f>'Local multi year dist'!BM134</f>
        <v>23061.884115465895</v>
      </c>
      <c r="AV134" s="63">
        <f>'Local multi year dist'!BN134</f>
        <v>23200.297152500283</v>
      </c>
      <c r="AW134" s="63">
        <f>'Local multi year dist'!BO134</f>
        <v>21576.722946961239</v>
      </c>
      <c r="AX134" s="63">
        <f>'Local multi year dist'!BP134</f>
        <v>19959.050779601032</v>
      </c>
      <c r="AY134" s="63">
        <f>'Local multi year dist'!BQ134</f>
        <v>18276.333761374008</v>
      </c>
      <c r="AZ134" s="63">
        <f>'Local multi year dist'!BR134</f>
        <v>14268.920634862745</v>
      </c>
      <c r="BA134" s="63">
        <f>'Local multi year dist'!BS134</f>
        <v>14268.920634862745</v>
      </c>
      <c r="BB134" s="63">
        <f>'Local multi year dist'!BT134</f>
        <v>14268.920634862745</v>
      </c>
      <c r="BC134" s="63">
        <f>'Local multi year dist'!BU134</f>
        <v>11793.730778069181</v>
      </c>
      <c r="BD134" s="63">
        <f>'Local multi year dist'!BV134</f>
        <v>11793.730778069181</v>
      </c>
      <c r="BE134" s="63">
        <f>'Local multi year dist'!BW134</f>
        <v>8512.2612770041724</v>
      </c>
      <c r="BF134" s="63"/>
      <c r="BG134" s="63"/>
      <c r="BH134" s="63"/>
      <c r="BI134" s="63"/>
      <c r="BJ134" s="63"/>
      <c r="BK134" s="63"/>
      <c r="BL134" s="63"/>
      <c r="BM134" s="63"/>
      <c r="BN134" s="63"/>
      <c r="BO134" s="63"/>
      <c r="BP134" s="63"/>
      <c r="BQ134" s="63"/>
    </row>
    <row r="135" spans="1:69" x14ac:dyDescent="0.25">
      <c r="A135" t="str">
        <f>'Local multi year dist'!S135</f>
        <v>Wythe County</v>
      </c>
      <c r="B135" s="63">
        <f>'Local multi year dist'!T135</f>
        <v>26105.966024499918</v>
      </c>
      <c r="C135" s="63">
        <f>'Local multi year dist'!U135</f>
        <v>165264.99763399654</v>
      </c>
      <c r="D135" s="63">
        <f>'Local multi year dist'!V135</f>
        <v>203814.03006284373</v>
      </c>
      <c r="E135" s="63">
        <f>'Local multi year dist'!W135</f>
        <v>78162.229325375622</v>
      </c>
      <c r="F135" s="63">
        <f>'Local multi year dist'!X135</f>
        <v>83990.366535105641</v>
      </c>
      <c r="G135" s="63">
        <f>'Local multi year dist'!Y135</f>
        <v>89261.719448897595</v>
      </c>
      <c r="H135" s="63">
        <f>'Local multi year dist'!Z135</f>
        <v>68005.158738501967</v>
      </c>
      <c r="I135" s="63">
        <f>'Local multi year dist'!AA135</f>
        <v>95309.725352151872</v>
      </c>
      <c r="J135" s="63">
        <f>'Local multi year dist'!AB135</f>
        <v>95743.378455402708</v>
      </c>
      <c r="K135" s="63">
        <f>'Local multi year dist'!AC135</f>
        <v>89643.847408955771</v>
      </c>
      <c r="L135" s="63">
        <f>'Local multi year dist'!AD135</f>
        <v>83190.039274441195</v>
      </c>
      <c r="M135" s="63">
        <f>'Local multi year dist'!AE135</f>
        <v>76478.685004188024</v>
      </c>
      <c r="N135" s="63">
        <f>'Local multi year dist'!AF135</f>
        <v>58364.414197501763</v>
      </c>
      <c r="O135" s="63">
        <f>'Local multi year dist'!AG135</f>
        <v>58364.414197501763</v>
      </c>
      <c r="P135" s="63">
        <f>'Local multi year dist'!AH135</f>
        <v>58364.414197501763</v>
      </c>
      <c r="Q135" s="63">
        <f>'Local multi year dist'!AI135</f>
        <v>48492.35856655454</v>
      </c>
      <c r="R135" s="63">
        <f>'Local multi year dist'!AJ135</f>
        <v>48492.35856655454</v>
      </c>
      <c r="S135" s="63">
        <f>'Local multi year dist'!AK135</f>
        <v>33950.331786104914</v>
      </c>
      <c r="T135" s="63"/>
      <c r="U135" s="63">
        <f>'Local multi year dist'!AM135</f>
        <v>0</v>
      </c>
      <c r="V135" s="63">
        <f>'Local multi year dist'!AN135</f>
        <v>59801.549910569876</v>
      </c>
      <c r="W135" s="63">
        <f>'Local multi year dist'!AO135</f>
        <v>69223.37058145729</v>
      </c>
      <c r="X135" s="63">
        <f>'Local multi year dist'!AP135</f>
        <v>26956.562287231078</v>
      </c>
      <c r="Y135" s="63">
        <f>'Local multi year dist'!AQ135</f>
        <v>29575.603973907178</v>
      </c>
      <c r="Z135" s="63">
        <f>'Local multi year dist'!AR135</f>
        <v>31508.433375630895</v>
      </c>
      <c r="AA135" s="63">
        <f>'Local multi year dist'!AS135</f>
        <v>23714.361115152496</v>
      </c>
      <c r="AB135" s="63">
        <f>'Local multi year dist'!AT135</f>
        <v>33726.035540157463</v>
      </c>
      <c r="AC135" s="63">
        <f>'Local multi year dist'!AU135</f>
        <v>33928.452783383153</v>
      </c>
      <c r="AD135" s="63">
        <f>'Local multi year dist'!AV135</f>
        <v>31554.114195783906</v>
      </c>
      <c r="AE135" s="63">
        <f>'Local multi year dist'!AW135</f>
        <v>29188.40683486078</v>
      </c>
      <c r="AF135" s="63">
        <f>'Local multi year dist'!AX135</f>
        <v>26727.576935767949</v>
      </c>
      <c r="AG135" s="63">
        <f>'Local multi year dist'!AY135</f>
        <v>20867.077557134158</v>
      </c>
      <c r="AH135" s="63">
        <f>'Local multi year dist'!AZ135</f>
        <v>20867.077557134158</v>
      </c>
      <c r="AI135" s="63">
        <f>'Local multi year dist'!BA135</f>
        <v>20867.077557134158</v>
      </c>
      <c r="AJ135" s="63">
        <f>'Local multi year dist'!BB135</f>
        <v>17247.323825786847</v>
      </c>
      <c r="AK135" s="63">
        <f>'Local multi year dist'!BC135</f>
        <v>17247.323825786847</v>
      </c>
      <c r="AL135" s="63">
        <f>'Local multi year dist'!BD135</f>
        <v>12448.454988238467</v>
      </c>
      <c r="AN135" s="63">
        <f>'Local multi year dist'!BF135</f>
        <v>0</v>
      </c>
      <c r="AO135" s="63">
        <f>'Local multi year dist'!BG135</f>
        <v>14950.387477642469</v>
      </c>
      <c r="AP135" s="63">
        <f>'Local multi year dist'!BH135</f>
        <v>17305.842645364322</v>
      </c>
      <c r="AQ135" s="63">
        <f>'Local multi year dist'!BI135</f>
        <v>6739.1405718077694</v>
      </c>
      <c r="AR135" s="63">
        <f>'Local multi year dist'!BJ135</f>
        <v>7393.9009934767946</v>
      </c>
      <c r="AS135" s="63">
        <f>'Local multi year dist'!BK135</f>
        <v>7877.1083439077238</v>
      </c>
      <c r="AT135" s="63">
        <f>'Local multi year dist'!BL135</f>
        <v>5928.5902787881241</v>
      </c>
      <c r="AU135" s="63">
        <f>'Local multi year dist'!BM135</f>
        <v>8431.5088850393659</v>
      </c>
      <c r="AV135" s="63">
        <f>'Local multi year dist'!BN135</f>
        <v>8482.1131958457881</v>
      </c>
      <c r="AW135" s="63">
        <f>'Local multi year dist'!BO135</f>
        <v>7888.5285489459766</v>
      </c>
      <c r="AX135" s="63">
        <f>'Local multi year dist'!BP135</f>
        <v>7297.1017087151949</v>
      </c>
      <c r="AY135" s="63">
        <f>'Local multi year dist'!BQ135</f>
        <v>6681.8942339419873</v>
      </c>
      <c r="AZ135" s="63">
        <f>'Local multi year dist'!BR135</f>
        <v>5216.7693892835396</v>
      </c>
      <c r="BA135" s="63">
        <f>'Local multi year dist'!BS135</f>
        <v>5216.7693892835396</v>
      </c>
      <c r="BB135" s="63">
        <f>'Local multi year dist'!BT135</f>
        <v>5216.7693892835396</v>
      </c>
      <c r="BC135" s="63">
        <f>'Local multi year dist'!BU135</f>
        <v>4311.8309564467118</v>
      </c>
      <c r="BD135" s="63">
        <f>'Local multi year dist'!BV135</f>
        <v>4311.8309564467118</v>
      </c>
      <c r="BE135" s="63">
        <f>'Local multi year dist'!BW135</f>
        <v>3112.1137470596168</v>
      </c>
      <c r="BF135" s="63"/>
      <c r="BG135" s="63"/>
      <c r="BH135" s="63"/>
      <c r="BI135" s="63"/>
      <c r="BJ135" s="63"/>
      <c r="BK135" s="63"/>
      <c r="BL135" s="63"/>
      <c r="BM135" s="63"/>
      <c r="BN135" s="63"/>
      <c r="BO135" s="63"/>
      <c r="BP135" s="63"/>
      <c r="BQ135" s="63"/>
    </row>
    <row r="136" spans="1:69" x14ac:dyDescent="0.25">
      <c r="A136" t="str">
        <f>'Local multi year dist'!S136</f>
        <v>York County</v>
      </c>
      <c r="B136" s="63">
        <f>'Local multi year dist'!T136</f>
        <v>22812.222647577037</v>
      </c>
      <c r="C136" s="63">
        <f>'Local multi year dist'!U136</f>
        <v>144413.80634372597</v>
      </c>
      <c r="D136" s="63">
        <f>'Local multi year dist'!V136</f>
        <v>178099.17580257842</v>
      </c>
      <c r="E136" s="63">
        <f>'Local multi year dist'!W136</f>
        <v>68300.639644136667</v>
      </c>
      <c r="F136" s="63">
        <f>'Local multi year dist'!X136</f>
        <v>73393.451131143724</v>
      </c>
      <c r="G136" s="63">
        <f>'Local multi year dist'!Y136</f>
        <v>77999.726808148844</v>
      </c>
      <c r="H136" s="63">
        <f>'Local multi year dist'!Z136</f>
        <v>59425.068617289115</v>
      </c>
      <c r="I136" s="63">
        <f>'Local multi year dist'!AA136</f>
        <v>83284.666546039269</v>
      </c>
      <c r="J136" s="63">
        <f>'Local multi year dist'!AB136</f>
        <v>83663.606407291169</v>
      </c>
      <c r="K136" s="63">
        <f>'Local multi year dist'!AC136</f>
        <v>78333.64236203146</v>
      </c>
      <c r="L136" s="63">
        <f>'Local multi year dist'!AD136</f>
        <v>72694.099739815443</v>
      </c>
      <c r="M136" s="63">
        <f>'Local multi year dist'!AE136</f>
        <v>66829.505120482077</v>
      </c>
      <c r="N136" s="63">
        <f>'Local multi year dist'!AF136</f>
        <v>51000.679695947809</v>
      </c>
      <c r="O136" s="63">
        <f>'Local multi year dist'!AG136</f>
        <v>51000.679695947809</v>
      </c>
      <c r="P136" s="63">
        <f>'Local multi year dist'!AH136</f>
        <v>51000.679695947809</v>
      </c>
      <c r="Q136" s="63">
        <f>'Local multi year dist'!AI136</f>
        <v>42374.163794138789</v>
      </c>
      <c r="R136" s="63">
        <f>'Local multi year dist'!AJ136</f>
        <v>42374.163794138789</v>
      </c>
      <c r="S136" s="63">
        <f>'Local multi year dist'!AK136</f>
        <v>29666.878710287943</v>
      </c>
      <c r="T136" s="63"/>
      <c r="U136" s="63">
        <f>'Local multi year dist'!AM136</f>
        <v>0</v>
      </c>
      <c r="V136" s="63">
        <f>'Local multi year dist'!AN136</f>
        <v>52256.49454802135</v>
      </c>
      <c r="W136" s="63">
        <f>'Local multi year dist'!AO136</f>
        <v>60489.580835198671</v>
      </c>
      <c r="X136" s="63">
        <f>'Local multi year dist'!AP136</f>
        <v>23555.500690243985</v>
      </c>
      <c r="Y136" s="63">
        <f>'Local multi year dist'!AQ136</f>
        <v>25844.102537946932</v>
      </c>
      <c r="Z136" s="63">
        <f>'Local multi year dist'!AR136</f>
        <v>27533.070286182141</v>
      </c>
      <c r="AA136" s="63">
        <f>'Local multi year dist'!AS136</f>
        <v>20722.362282866903</v>
      </c>
      <c r="AB136" s="63">
        <f>'Local multi year dist'!AT136</f>
        <v>29470.881523408629</v>
      </c>
      <c r="AC136" s="63">
        <f>'Local multi year dist'!AU136</f>
        <v>29647.760142489024</v>
      </c>
      <c r="AD136" s="63">
        <f>'Local multi year dist'!AV136</f>
        <v>27572.987638371924</v>
      </c>
      <c r="AE136" s="63">
        <f>'Local multi year dist'!AW136</f>
        <v>25505.757374387696</v>
      </c>
      <c r="AF136" s="63">
        <f>'Local multi year dist'!AX136</f>
        <v>23355.406013965458</v>
      </c>
      <c r="AG136" s="63">
        <f>'Local multi year dist'!AY136</f>
        <v>18234.315435439668</v>
      </c>
      <c r="AH136" s="63">
        <f>'Local multi year dist'!AZ136</f>
        <v>18234.315435439668</v>
      </c>
      <c r="AI136" s="63">
        <f>'Local multi year dist'!BA136</f>
        <v>18234.315435439668</v>
      </c>
      <c r="AJ136" s="63">
        <f>'Local multi year dist'!BB136</f>
        <v>15071.259604776358</v>
      </c>
      <c r="AK136" s="63">
        <f>'Local multi year dist'!BC136</f>
        <v>15071.259604776358</v>
      </c>
      <c r="AL136" s="63">
        <f>'Local multi year dist'!BD136</f>
        <v>10877.855527105579</v>
      </c>
      <c r="AN136" s="63">
        <f>'Local multi year dist'!BF136</f>
        <v>0</v>
      </c>
      <c r="AO136" s="63">
        <f>'Local multi year dist'!BG136</f>
        <v>13064.123637005338</v>
      </c>
      <c r="AP136" s="63">
        <f>'Local multi year dist'!BH136</f>
        <v>15122.395208799668</v>
      </c>
      <c r="AQ136" s="63">
        <f>'Local multi year dist'!BI136</f>
        <v>5888.8751725609964</v>
      </c>
      <c r="AR136" s="63">
        <f>'Local multi year dist'!BJ136</f>
        <v>6461.025634486733</v>
      </c>
      <c r="AS136" s="63">
        <f>'Local multi year dist'!BK136</f>
        <v>6883.2675715455352</v>
      </c>
      <c r="AT136" s="63">
        <f>'Local multi year dist'!BL136</f>
        <v>5180.5905707167258</v>
      </c>
      <c r="AU136" s="63">
        <f>'Local multi year dist'!BM136</f>
        <v>7367.7203808521572</v>
      </c>
      <c r="AV136" s="63">
        <f>'Local multi year dist'!BN136</f>
        <v>7411.9400356222559</v>
      </c>
      <c r="AW136" s="63">
        <f>'Local multi year dist'!BO136</f>
        <v>6893.246909592981</v>
      </c>
      <c r="AX136" s="63">
        <f>'Local multi year dist'!BP136</f>
        <v>6376.4393435969241</v>
      </c>
      <c r="AY136" s="63">
        <f>'Local multi year dist'!BQ136</f>
        <v>5838.8515034913644</v>
      </c>
      <c r="AZ136" s="63">
        <f>'Local multi year dist'!BR136</f>
        <v>4558.5788588599171</v>
      </c>
      <c r="BA136" s="63">
        <f>'Local multi year dist'!BS136</f>
        <v>4558.5788588599171</v>
      </c>
      <c r="BB136" s="63">
        <f>'Local multi year dist'!BT136</f>
        <v>4558.5788588599171</v>
      </c>
      <c r="BC136" s="63">
        <f>'Local multi year dist'!BU136</f>
        <v>3767.8149011940895</v>
      </c>
      <c r="BD136" s="63">
        <f>'Local multi year dist'!BV136</f>
        <v>3767.8149011940895</v>
      </c>
      <c r="BE136" s="63">
        <f>'Local multi year dist'!BW136</f>
        <v>2719.4638817763948</v>
      </c>
      <c r="BF136" s="63"/>
      <c r="BG136" s="63"/>
      <c r="BH136" s="63"/>
      <c r="BI136" s="63"/>
      <c r="BJ136" s="63"/>
      <c r="BK136" s="63"/>
      <c r="BL136" s="63"/>
      <c r="BM136" s="63"/>
      <c r="BN136" s="63"/>
      <c r="BO136" s="63"/>
      <c r="BP136" s="63"/>
      <c r="BQ136" s="63"/>
    </row>
    <row r="139" spans="1:69" x14ac:dyDescent="0.25">
      <c r="AM139" t="s">
        <v>31</v>
      </c>
    </row>
  </sheetData>
  <phoneticPr fontId="1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AA05-58C8-4E5E-B359-CED62EDACA97}">
  <dimension ref="B3:J138"/>
  <sheetViews>
    <sheetView workbookViewId="0">
      <selection activeCell="N27" sqref="N27"/>
    </sheetView>
  </sheetViews>
  <sheetFormatPr defaultRowHeight="15" x14ac:dyDescent="0.25"/>
  <cols>
    <col min="2" max="2" width="22.42578125" bestFit="1" customWidth="1"/>
    <col min="3" max="3" width="25.5703125" customWidth="1"/>
    <col min="4" max="4" width="27.42578125" style="63" bestFit="1" customWidth="1"/>
    <col min="5" max="6" width="27" customWidth="1"/>
    <col min="7" max="7" width="28.140625" customWidth="1"/>
    <col min="8" max="8" width="25.140625" customWidth="1"/>
    <col min="9" max="9" width="25.5703125" style="63" customWidth="1"/>
    <col min="10" max="10" width="23.5703125" customWidth="1"/>
  </cols>
  <sheetData>
    <row r="3" spans="2:10" s="78" customFormat="1" ht="45" x14ac:dyDescent="0.25">
      <c r="B3" s="77"/>
      <c r="C3" s="7" t="s">
        <v>335</v>
      </c>
      <c r="D3" s="79" t="s">
        <v>336</v>
      </c>
      <c r="E3" s="7" t="s">
        <v>337</v>
      </c>
      <c r="F3" s="7" t="s">
        <v>338</v>
      </c>
      <c r="G3" s="7" t="s">
        <v>339</v>
      </c>
      <c r="H3" s="7" t="s">
        <v>340</v>
      </c>
      <c r="I3" s="79" t="s">
        <v>341</v>
      </c>
    </row>
    <row r="4" spans="2:10" ht="15.75" x14ac:dyDescent="0.25">
      <c r="B4" s="22" t="s">
        <v>53</v>
      </c>
      <c r="C4" s="63">
        <f>SUM('Local dist eligible'!N4,'Local dist eligible'!Q4,'Local dist eligible'!T4)</f>
        <v>118605.6967623151</v>
      </c>
      <c r="D4" s="63" t="str">
        <f>IFERROR(VLOOKUP(B4,#REF!,9,FALSE),"")</f>
        <v/>
      </c>
      <c r="E4" s="63">
        <f>SUM('Local dist eligible'!O4,'Local dist eligible'!R4,'Local dist eligible'!U4)</f>
        <v>37868.824647824222</v>
      </c>
      <c r="F4" s="63">
        <f>SUM('Local dist eligible'!P4,'Local dist eligible'!S4,'Local dist eligible'!V4)</f>
        <v>9467.2061619560554</v>
      </c>
      <c r="G4" s="63">
        <f>SUM(E4,F4)</f>
        <v>47336.030809780277</v>
      </c>
      <c r="H4" s="63" t="str">
        <f>IFERROR(VLOOKUP(B4,#REF!,10,FALSE),"")</f>
        <v/>
      </c>
      <c r="I4" s="63" t="str">
        <f>IFERROR(VLOOKUP(B4,#REF!,2,FALSE),"")</f>
        <v/>
      </c>
      <c r="J4" s="63"/>
    </row>
    <row r="5" spans="2:10" ht="15.75" x14ac:dyDescent="0.25">
      <c r="B5" s="30" t="s">
        <v>54</v>
      </c>
      <c r="C5" s="63">
        <f>SUM('Local dist eligible'!N5,'Local dist eligible'!Q5,'Local dist eligible'!T5)</f>
        <v>294128.49513183348</v>
      </c>
      <c r="D5" s="63" t="str">
        <f>IFERROR(VLOOKUP(B5,#REF!,9,FALSE),"")</f>
        <v/>
      </c>
      <c r="E5" s="63">
        <f>SUM('Local dist eligible'!O5,'Local dist eligible'!R5,'Local dist eligible'!U5)</f>
        <v>93910.332388138908</v>
      </c>
      <c r="F5" s="63">
        <f>SUM('Local dist eligible'!P5,'Local dist eligible'!S5,'Local dist eligible'!V5)</f>
        <v>23477.583097034727</v>
      </c>
      <c r="G5" s="63">
        <f t="shared" ref="G5:G68" si="0">SUM(E5,F5)</f>
        <v>117387.91548517364</v>
      </c>
      <c r="H5" s="63" t="str">
        <f>IFERROR(VLOOKUP(B5,#REF!,10,FALSE),"")</f>
        <v/>
      </c>
      <c r="I5" s="63" t="str">
        <f>IFERROR(VLOOKUP(B5,#REF!,2,FALSE),"")</f>
        <v/>
      </c>
    </row>
    <row r="6" spans="2:10" ht="15.75" x14ac:dyDescent="0.25">
      <c r="B6" s="22" t="s">
        <v>56</v>
      </c>
      <c r="C6" s="63">
        <f>SUM('Local dist eligible'!N6,'Local dist eligible'!Q6,'Local dist eligible'!T6)</f>
        <v>396033.96447646595</v>
      </c>
      <c r="D6" s="63" t="str">
        <f>IFERROR(VLOOKUP(B6,#REF!,9,FALSE),"")</f>
        <v/>
      </c>
      <c r="E6" s="63">
        <f>SUM('Local dist eligible'!O6,'Local dist eligible'!R6,'Local dist eligible'!U6)</f>
        <v>126447.05241601076</v>
      </c>
      <c r="F6" s="63">
        <f>SUM('Local dist eligible'!P6,'Local dist eligible'!S6,'Local dist eligible'!V6)</f>
        <v>31611.76310400269</v>
      </c>
      <c r="G6" s="63">
        <f t="shared" si="0"/>
        <v>158058.81552001345</v>
      </c>
      <c r="H6" s="63" t="str">
        <f>IFERROR(VLOOKUP(B6,#REF!,10,FALSE),"")</f>
        <v/>
      </c>
      <c r="I6" s="63" t="str">
        <f>IFERROR(VLOOKUP(B6,#REF!,2,FALSE),"")</f>
        <v/>
      </c>
    </row>
    <row r="7" spans="2:10" ht="15.75" x14ac:dyDescent="0.25">
      <c r="B7" s="30" t="s">
        <v>58</v>
      </c>
      <c r="C7" s="63">
        <f>SUM('Local dist eligible'!N7,'Local dist eligible'!Q7,'Local dist eligible'!T7)</f>
        <v>72594.866121761836</v>
      </c>
      <c r="D7" s="63" t="str">
        <f>IFERROR(VLOOKUP(B7,#REF!,9,FALSE),"")</f>
        <v/>
      </c>
      <c r="E7" s="63">
        <f>SUM('Local dist eligible'!O7,'Local dist eligible'!R7,'Local dist eligible'!U7)</f>
        <v>23178.332327547581</v>
      </c>
      <c r="F7" s="63">
        <f>SUM('Local dist eligible'!P7,'Local dist eligible'!S7,'Local dist eligible'!V7)</f>
        <v>5794.5830818868953</v>
      </c>
      <c r="G7" s="63">
        <f t="shared" si="0"/>
        <v>28972.915409434478</v>
      </c>
      <c r="H7" s="63" t="str">
        <f>IFERROR(VLOOKUP(B7,#REF!,10,FALSE),"")</f>
        <v/>
      </c>
      <c r="I7" s="63" t="str">
        <f>IFERROR(VLOOKUP(B7,#REF!,2,FALSE),"")</f>
        <v/>
      </c>
    </row>
    <row r="8" spans="2:10" ht="15.75" x14ac:dyDescent="0.25">
      <c r="B8" s="22" t="s">
        <v>60</v>
      </c>
      <c r="C8" s="63">
        <f>SUM('Local dist eligible'!N8,'Local dist eligible'!Q8,'Local dist eligible'!T8)</f>
        <v>34082.096770780205</v>
      </c>
      <c r="D8" s="63" t="str">
        <f>IFERROR(VLOOKUP(B8,#REF!,9,FALSE),"")</f>
        <v/>
      </c>
      <c r="E8" s="63">
        <f>SUM('Local dist eligible'!O8,'Local dist eligible'!R8,'Local dist eligible'!U8)</f>
        <v>10881.84616316788</v>
      </c>
      <c r="F8" s="63">
        <f>SUM('Local dist eligible'!P8,'Local dist eligible'!S8,'Local dist eligible'!V8)</f>
        <v>2720.46154079197</v>
      </c>
      <c r="G8" s="63">
        <f t="shared" si="0"/>
        <v>13602.30770395985</v>
      </c>
      <c r="H8" s="63" t="str">
        <f>IFERROR(VLOOKUP(B8,#REF!,10,FALSE),"")</f>
        <v/>
      </c>
      <c r="I8" s="63" t="str">
        <f>IFERROR(VLOOKUP(B8,#REF!,2,FALSE),"")</f>
        <v/>
      </c>
    </row>
    <row r="9" spans="2:10" ht="15.75" x14ac:dyDescent="0.25">
      <c r="B9" s="30" t="s">
        <v>62</v>
      </c>
      <c r="C9" s="63">
        <f>SUM('Local dist eligible'!N9,'Local dist eligible'!Q9,'Local dist eligible'!T9)</f>
        <v>101905.46934463279</v>
      </c>
      <c r="D9" s="63" t="str">
        <f>IFERROR(VLOOKUP(B9,#REF!,9,FALSE),"")</f>
        <v/>
      </c>
      <c r="E9" s="63">
        <f>SUM('Local dist eligible'!O9,'Local dist eligible'!R9,'Local dist eligible'!U9)</f>
        <v>32536.720027871957</v>
      </c>
      <c r="F9" s="63">
        <f>SUM('Local dist eligible'!P9,'Local dist eligible'!S9,'Local dist eligible'!V9)</f>
        <v>8134.1800069679894</v>
      </c>
      <c r="G9" s="63">
        <f t="shared" si="0"/>
        <v>40670.90003483995</v>
      </c>
      <c r="H9" s="63" t="str">
        <f>IFERROR(VLOOKUP(B9,#REF!,10,FALSE),"")</f>
        <v/>
      </c>
      <c r="I9" s="63" t="str">
        <f>IFERROR(VLOOKUP(B9,#REF!,2,FALSE),"")</f>
        <v/>
      </c>
    </row>
    <row r="10" spans="2:10" ht="15.75" x14ac:dyDescent="0.25">
      <c r="B10" s="22" t="s">
        <v>64</v>
      </c>
      <c r="C10" s="63">
        <f>SUM('Local dist eligible'!N10,'Local dist eligible'!Q10,'Local dist eligible'!T10)</f>
        <v>45329.188705137669</v>
      </c>
      <c r="D10" s="63" t="str">
        <f>IFERROR(VLOOKUP(B10,#REF!,9,FALSE),"")</f>
        <v/>
      </c>
      <c r="E10" s="63">
        <f>SUM('Local dist eligible'!O10,'Local dist eligible'!R10,'Local dist eligible'!U10)</f>
        <v>14472.855397013278</v>
      </c>
      <c r="F10" s="63">
        <f>SUM('Local dist eligible'!P10,'Local dist eligible'!S10,'Local dist eligible'!V10)</f>
        <v>3618.2138492533195</v>
      </c>
      <c r="G10" s="63">
        <f t="shared" si="0"/>
        <v>18091.069246266597</v>
      </c>
      <c r="H10" s="63" t="str">
        <f>IFERROR(VLOOKUP(B10,#REF!,10,FALSE),"")</f>
        <v/>
      </c>
      <c r="I10" s="63" t="str">
        <f>IFERROR(VLOOKUP(B10,#REF!,2,FALSE),"")</f>
        <v/>
      </c>
    </row>
    <row r="11" spans="2:10" ht="15.75" x14ac:dyDescent="0.25">
      <c r="B11" s="30" t="s">
        <v>11</v>
      </c>
      <c r="C11" s="63">
        <f>SUM('Local dist eligible'!N11,'Local dist eligible'!Q11,'Local dist eligible'!T11)</f>
        <v>469651.29350135115</v>
      </c>
      <c r="D11" s="63" t="str">
        <f>IFERROR(VLOOKUP(B11,#REF!,9,FALSE),"")</f>
        <v/>
      </c>
      <c r="E11" s="63">
        <f>SUM('Local dist eligible'!O11,'Local dist eligible'!R11,'Local dist eligible'!U11)</f>
        <v>149951.84012845336</v>
      </c>
      <c r="F11" s="63">
        <f>SUM('Local dist eligible'!P11,'Local dist eligible'!S11,'Local dist eligible'!V11)</f>
        <v>37487.96003211334</v>
      </c>
      <c r="G11" s="63">
        <f t="shared" si="0"/>
        <v>187439.80016056669</v>
      </c>
      <c r="H11" s="63" t="str">
        <f>IFERROR(VLOOKUP(B11,#REF!,10,FALSE),"")</f>
        <v/>
      </c>
      <c r="I11" s="63" t="str">
        <f>IFERROR(VLOOKUP(B11,#REF!,2,FALSE),"")</f>
        <v/>
      </c>
    </row>
    <row r="12" spans="2:10" ht="15.75" x14ac:dyDescent="0.25">
      <c r="B12" s="22" t="s">
        <v>67</v>
      </c>
      <c r="C12" s="63">
        <f>SUM('Local dist eligible'!N12,'Local dist eligible'!Q12,'Local dist eligible'!T12)</f>
        <v>284585.50803601503</v>
      </c>
      <c r="D12" s="63" t="str">
        <f>IFERROR(VLOOKUP(B12,#REF!,9,FALSE),"")</f>
        <v/>
      </c>
      <c r="E12" s="63">
        <f>SUM('Local dist eligible'!O12,'Local dist eligible'!R12,'Local dist eligible'!U12)</f>
        <v>90863.4154624519</v>
      </c>
      <c r="F12" s="63">
        <f>SUM('Local dist eligible'!P12,'Local dist eligible'!S12,'Local dist eligible'!V12)</f>
        <v>22715.853865612975</v>
      </c>
      <c r="G12" s="63">
        <f t="shared" si="0"/>
        <v>113579.26932806487</v>
      </c>
      <c r="H12" s="63" t="str">
        <f>IFERROR(VLOOKUP(B12,#REF!,10,FALSE),"")</f>
        <v/>
      </c>
      <c r="I12" s="63" t="str">
        <f>IFERROR(VLOOKUP(B12,#REF!,2,FALSE),"")</f>
        <v/>
      </c>
    </row>
    <row r="13" spans="2:10" ht="15.75" x14ac:dyDescent="0.25">
      <c r="B13" s="30" t="s">
        <v>69</v>
      </c>
      <c r="C13" s="63">
        <f>SUM('Local dist eligible'!N13,'Local dist eligible'!Q13,'Local dist eligible'!T13)</f>
        <v>12610.375805188674</v>
      </c>
      <c r="D13" s="63" t="str">
        <f>IFERROR(VLOOKUP(B13,#REF!,9,FALSE),"")</f>
        <v/>
      </c>
      <c r="E13" s="63">
        <f>SUM('Local dist eligible'!O13,'Local dist eligible'!R13,'Local dist eligible'!U13)</f>
        <v>4026.2830803721149</v>
      </c>
      <c r="F13" s="63">
        <f>SUM('Local dist eligible'!P13,'Local dist eligible'!S13,'Local dist eligible'!V13)</f>
        <v>1006.5707700930287</v>
      </c>
      <c r="G13" s="63">
        <f t="shared" si="0"/>
        <v>5032.8538504651433</v>
      </c>
      <c r="H13" s="63" t="str">
        <f>IFERROR(VLOOKUP(B13,#REF!,10,FALSE),"")</f>
        <v/>
      </c>
      <c r="I13" s="63" t="str">
        <f>IFERROR(VLOOKUP(B13,#REF!,2,FALSE),"")</f>
        <v/>
      </c>
    </row>
    <row r="14" spans="2:10" ht="15.75" x14ac:dyDescent="0.25">
      <c r="B14" s="22" t="s">
        <v>71</v>
      </c>
      <c r="C14" s="63">
        <f>SUM('Local dist eligible'!N14,'Local dist eligible'!Q14,'Local dist eligible'!T14)</f>
        <v>264817.89190896251</v>
      </c>
      <c r="D14" s="63" t="str">
        <f>IFERROR(VLOOKUP(B14,#REF!,9,FALSE),"")</f>
        <v/>
      </c>
      <c r="E14" s="63">
        <f>SUM('Local dist eligible'!O14,'Local dist eligible'!R14,'Local dist eligible'!U14)</f>
        <v>84551.944687814539</v>
      </c>
      <c r="F14" s="63">
        <f>SUM('Local dist eligible'!P14,'Local dist eligible'!S14,'Local dist eligible'!V14)</f>
        <v>21137.986171953635</v>
      </c>
      <c r="G14" s="63">
        <f t="shared" si="0"/>
        <v>105689.93085976818</v>
      </c>
      <c r="H14" s="63" t="str">
        <f>IFERROR(VLOOKUP(B14,#REF!,10,FALSE),"")</f>
        <v/>
      </c>
      <c r="I14" s="63" t="str">
        <f>IFERROR(VLOOKUP(B14,#REF!,2,FALSE),"")</f>
        <v/>
      </c>
    </row>
    <row r="15" spans="2:10" ht="15.75" x14ac:dyDescent="0.25">
      <c r="B15" s="30" t="s">
        <v>73</v>
      </c>
      <c r="C15" s="63">
        <f>SUM('Local dist eligible'!N15,'Local dist eligible'!Q15,'Local dist eligible'!T15)</f>
        <v>50100.6822530469</v>
      </c>
      <c r="D15" s="63" t="str">
        <f>IFERROR(VLOOKUP(B15,#REF!,9,FALSE),"")</f>
        <v/>
      </c>
      <c r="E15" s="63">
        <f>SUM('Local dist eligible'!O15,'Local dist eligible'!R15,'Local dist eligible'!U15)</f>
        <v>15996.313859856784</v>
      </c>
      <c r="F15" s="63">
        <f>SUM('Local dist eligible'!P15,'Local dist eligible'!S15,'Local dist eligible'!V15)</f>
        <v>3999.078464964196</v>
      </c>
      <c r="G15" s="63">
        <f t="shared" si="0"/>
        <v>19995.392324820979</v>
      </c>
      <c r="H15" s="63" t="str">
        <f>IFERROR(VLOOKUP(B15,#REF!,10,FALSE),"")</f>
        <v/>
      </c>
      <c r="I15" s="63" t="str">
        <f>IFERROR(VLOOKUP(B15,#REF!,2,FALSE),"")</f>
        <v/>
      </c>
    </row>
    <row r="16" spans="2:10" ht="15.75" x14ac:dyDescent="0.25">
      <c r="B16" s="22" t="s">
        <v>75</v>
      </c>
      <c r="C16" s="63">
        <f>SUM('Local dist eligible'!N16,'Local dist eligible'!Q16,'Local dist eligible'!T16)</f>
        <v>123377.19031022434</v>
      </c>
      <c r="D16" s="63" t="str">
        <f>IFERROR(VLOOKUP(B16,#REF!,9,FALSE),"")</f>
        <v/>
      </c>
      <c r="E16" s="63">
        <f>SUM('Local dist eligible'!O16,'Local dist eligible'!R16,'Local dist eligible'!U16)</f>
        <v>39392.283110667726</v>
      </c>
      <c r="F16" s="63">
        <f>SUM('Local dist eligible'!P16,'Local dist eligible'!S16,'Local dist eligible'!V16)</f>
        <v>9848.0707776669315</v>
      </c>
      <c r="G16" s="63">
        <f t="shared" si="0"/>
        <v>49240.353888334655</v>
      </c>
      <c r="H16" s="63" t="str">
        <f>IFERROR(VLOOKUP(B16,#REF!,10,FALSE),"")</f>
        <v/>
      </c>
      <c r="I16" s="63" t="str">
        <f>IFERROR(VLOOKUP(B16,#REF!,2,FALSE),"")</f>
        <v/>
      </c>
    </row>
    <row r="17" spans="2:9" ht="15.75" x14ac:dyDescent="0.25">
      <c r="B17" s="30" t="s">
        <v>77</v>
      </c>
      <c r="C17" s="63">
        <f>SUM('Local dist eligible'!N17,'Local dist eligible'!Q17,'Local dist eligible'!T17)</f>
        <v>147916.29998518608</v>
      </c>
      <c r="D17" s="63" t="str">
        <f>IFERROR(VLOOKUP(B17,#REF!,9,FALSE),"")</f>
        <v/>
      </c>
      <c r="E17" s="63">
        <f>SUM('Local dist eligible'!O17,'Local dist eligible'!R17,'Local dist eligible'!U17)</f>
        <v>47227.212348148598</v>
      </c>
      <c r="F17" s="63">
        <f>SUM('Local dist eligible'!P17,'Local dist eligible'!S17,'Local dist eligible'!V17)</f>
        <v>11806.803087037149</v>
      </c>
      <c r="G17" s="63">
        <f t="shared" si="0"/>
        <v>59034.015435185749</v>
      </c>
      <c r="H17" s="63" t="str">
        <f>IFERROR(VLOOKUP(B17,#REF!,10,FALSE),"")</f>
        <v/>
      </c>
      <c r="I17" s="63" t="str">
        <f>IFERROR(VLOOKUP(B17,#REF!,2,FALSE),"")</f>
        <v/>
      </c>
    </row>
    <row r="18" spans="2:9" ht="15.75" x14ac:dyDescent="0.25">
      <c r="B18" s="22" t="s">
        <v>79</v>
      </c>
      <c r="C18" s="63">
        <f>SUM('Local dist eligible'!N18,'Local dist eligible'!Q18,'Local dist eligible'!T18)</f>
        <v>36467.843544734817</v>
      </c>
      <c r="D18" s="63" t="str">
        <f>IFERROR(VLOOKUP(B18,#REF!,9,FALSE),"")</f>
        <v/>
      </c>
      <c r="E18" s="63">
        <f>SUM('Local dist eligible'!O18,'Local dist eligible'!R18,'Local dist eligible'!U18)</f>
        <v>11643.575394589632</v>
      </c>
      <c r="F18" s="63">
        <f>SUM('Local dist eligible'!P18,'Local dist eligible'!S18,'Local dist eligible'!V18)</f>
        <v>2910.893848647408</v>
      </c>
      <c r="G18" s="63">
        <f t="shared" si="0"/>
        <v>14554.469243237039</v>
      </c>
      <c r="H18" s="63" t="str">
        <f>IFERROR(VLOOKUP(B18,#REF!,10,FALSE),"")</f>
        <v/>
      </c>
      <c r="I18" s="63" t="str">
        <f>IFERROR(VLOOKUP(B18,#REF!,2,FALSE),"")</f>
        <v/>
      </c>
    </row>
    <row r="19" spans="2:9" ht="15.75" x14ac:dyDescent="0.25">
      <c r="B19" s="30" t="s">
        <v>81</v>
      </c>
      <c r="C19" s="63">
        <f>SUM('Local dist eligible'!N19,'Local dist eligible'!Q19,'Local dist eligible'!T19)</f>
        <v>316622.67900054844</v>
      </c>
      <c r="D19" s="63" t="str">
        <f>IFERROR(VLOOKUP(B19,#REF!,9,FALSE),"")</f>
        <v/>
      </c>
      <c r="E19" s="63">
        <f>SUM('Local dist eligible'!O19,'Local dist eligible'!R19,'Local dist eligible'!U19)</f>
        <v>101092.35085582972</v>
      </c>
      <c r="F19" s="63">
        <f>SUM('Local dist eligible'!P19,'Local dist eligible'!S19,'Local dist eligible'!V19)</f>
        <v>25273.08771395743</v>
      </c>
      <c r="G19" s="63">
        <f t="shared" si="0"/>
        <v>126365.43856978715</v>
      </c>
      <c r="H19" s="63" t="str">
        <f>IFERROR(VLOOKUP(B19,#REF!,10,FALSE),"")</f>
        <v/>
      </c>
      <c r="I19" s="63" t="str">
        <f>IFERROR(VLOOKUP(B19,#REF!,2,FALSE),"")</f>
        <v/>
      </c>
    </row>
    <row r="20" spans="2:9" ht="15.75" x14ac:dyDescent="0.25">
      <c r="B20" s="22" t="s">
        <v>83</v>
      </c>
      <c r="C20" s="63">
        <f>SUM('Local dist eligible'!N20,'Local dist eligible'!Q20,'Local dist eligible'!T20)</f>
        <v>43284.262898890862</v>
      </c>
      <c r="D20" s="63" t="str">
        <f>IFERROR(VLOOKUP(B20,#REF!,9,FALSE),"")</f>
        <v/>
      </c>
      <c r="E20" s="63">
        <f>SUM('Local dist eligible'!O20,'Local dist eligible'!R20,'Local dist eligible'!U20)</f>
        <v>13819.944627223207</v>
      </c>
      <c r="F20" s="63">
        <f>SUM('Local dist eligible'!P20,'Local dist eligible'!S20,'Local dist eligible'!V20)</f>
        <v>3454.9861568058018</v>
      </c>
      <c r="G20" s="63">
        <f t="shared" si="0"/>
        <v>17274.930784029009</v>
      </c>
      <c r="H20" s="63" t="str">
        <f>IFERROR(VLOOKUP(B20,#REF!,10,FALSE),"")</f>
        <v/>
      </c>
      <c r="I20" s="63" t="str">
        <f>IFERROR(VLOOKUP(B20,#REF!,2,FALSE),"")</f>
        <v/>
      </c>
    </row>
    <row r="21" spans="2:9" ht="15.75" x14ac:dyDescent="0.25">
      <c r="B21" s="30" t="s">
        <v>85</v>
      </c>
      <c r="C21" s="63">
        <f>SUM('Local dist eligible'!N21,'Local dist eligible'!Q21,'Local dist eligible'!T21)</f>
        <v>26584.035481208557</v>
      </c>
      <c r="D21" s="63" t="str">
        <f>IFERROR(VLOOKUP(B21,#REF!,9,FALSE),"")</f>
        <v/>
      </c>
      <c r="E21" s="63">
        <f>SUM('Local dist eligible'!O21,'Local dist eligible'!R21,'Local dist eligible'!U21)</f>
        <v>8487.8400072709464</v>
      </c>
      <c r="F21" s="63">
        <f>SUM('Local dist eligible'!P21,'Local dist eligible'!S21,'Local dist eligible'!V21)</f>
        <v>2121.9600018177366</v>
      </c>
      <c r="G21" s="63">
        <f t="shared" si="0"/>
        <v>10609.800009088684</v>
      </c>
      <c r="H21" s="63" t="str">
        <f>IFERROR(VLOOKUP(B21,#REF!,10,FALSE),"")</f>
        <v/>
      </c>
      <c r="I21" s="63" t="str">
        <f>IFERROR(VLOOKUP(B21,#REF!,2,FALSE),"")</f>
        <v/>
      </c>
    </row>
    <row r="22" spans="2:9" ht="15.75" x14ac:dyDescent="0.25">
      <c r="B22" s="22" t="s">
        <v>87</v>
      </c>
      <c r="C22" s="63">
        <f>SUM('Local dist eligible'!N22,'Local dist eligible'!Q22,'Local dist eligible'!T22)</f>
        <v>155414.36127475771</v>
      </c>
      <c r="D22" s="63" t="str">
        <f>IFERROR(VLOOKUP(B22,#REF!,9,FALSE),"")</f>
        <v/>
      </c>
      <c r="E22" s="63">
        <f>SUM('Local dist eligible'!O22,'Local dist eligible'!R22,'Local dist eligible'!U22)</f>
        <v>49621.218504045522</v>
      </c>
      <c r="F22" s="63">
        <f>SUM('Local dist eligible'!P22,'Local dist eligible'!S22,'Local dist eligible'!V22)</f>
        <v>12405.304626011381</v>
      </c>
      <c r="G22" s="63">
        <f t="shared" si="0"/>
        <v>62026.523130056899</v>
      </c>
      <c r="H22" s="63" t="str">
        <f>IFERROR(VLOOKUP(B22,#REF!,10,FALSE),"")</f>
        <v/>
      </c>
      <c r="I22" s="63" t="str">
        <f>IFERROR(VLOOKUP(B22,#REF!,2,FALSE),"")</f>
        <v/>
      </c>
    </row>
    <row r="23" spans="2:9" ht="15.75" x14ac:dyDescent="0.25">
      <c r="B23" s="22" t="s">
        <v>89</v>
      </c>
      <c r="C23" s="63">
        <f>SUM('Local dist eligible'!N23,'Local dist eligible'!Q23,'Local dist eligible'!T23)</f>
        <v>108381.06773108106</v>
      </c>
      <c r="D23" s="63" t="str">
        <f>IFERROR(VLOOKUP(B23,#REF!,9,FALSE),"")</f>
        <v/>
      </c>
      <c r="E23" s="63">
        <f>SUM('Local dist eligible'!O23,'Local dist eligible'!R23,'Local dist eligible'!U23)</f>
        <v>34604.270798873855</v>
      </c>
      <c r="F23" s="63">
        <f>SUM('Local dist eligible'!P23,'Local dist eligible'!S23,'Local dist eligible'!V23)</f>
        <v>8651.0676997184637</v>
      </c>
      <c r="G23" s="63">
        <f t="shared" si="0"/>
        <v>43255.338498592319</v>
      </c>
      <c r="H23" s="63" t="str">
        <f>IFERROR(VLOOKUP(B23,#REF!,10,FALSE),"")</f>
        <v/>
      </c>
      <c r="I23" s="63" t="str">
        <f>IFERROR(VLOOKUP(B23,#REF!,2,FALSE),"")</f>
        <v/>
      </c>
    </row>
    <row r="24" spans="2:9" ht="15.75" x14ac:dyDescent="0.25">
      <c r="B24" s="22" t="s">
        <v>90</v>
      </c>
      <c r="C24" s="63">
        <f>SUM('Local dist eligible'!N24,'Local dist eligible'!Q24,'Local dist eligible'!T24)</f>
        <v>149961.22579143289</v>
      </c>
      <c r="D24" s="63" t="str">
        <f>IFERROR(VLOOKUP(B24,#REF!,9,FALSE),"")</f>
        <v/>
      </c>
      <c r="E24" s="63">
        <f>SUM('Local dist eligible'!O24,'Local dist eligible'!R24,'Local dist eligible'!U24)</f>
        <v>47880.123117938667</v>
      </c>
      <c r="F24" s="63">
        <f>SUM('Local dist eligible'!P24,'Local dist eligible'!S24,'Local dist eligible'!V24)</f>
        <v>11970.030779484667</v>
      </c>
      <c r="G24" s="63">
        <f t="shared" si="0"/>
        <v>59850.153897423334</v>
      </c>
      <c r="H24" s="63" t="str">
        <f>IFERROR(VLOOKUP(B24,#REF!,10,FALSE),"")</f>
        <v/>
      </c>
      <c r="I24" s="63" t="str">
        <f>IFERROR(VLOOKUP(B24,#REF!,2,FALSE),"")</f>
        <v/>
      </c>
    </row>
    <row r="25" spans="2:9" ht="15.75" x14ac:dyDescent="0.25">
      <c r="B25" s="22" t="s">
        <v>91</v>
      </c>
      <c r="C25" s="63">
        <f>SUM('Local dist eligible'!N25,'Local dist eligible'!Q25,'Local dist eligible'!T25)</f>
        <v>24879.930642669551</v>
      </c>
      <c r="D25" s="63" t="str">
        <f>IFERROR(VLOOKUP(B25,#REF!,9,FALSE),"")</f>
        <v/>
      </c>
      <c r="E25" s="63">
        <f>SUM('Local dist eligible'!O25,'Local dist eligible'!R25,'Local dist eligible'!U25)</f>
        <v>7943.7476991125523</v>
      </c>
      <c r="F25" s="63" t="s">
        <v>342</v>
      </c>
      <c r="G25" s="63">
        <f t="shared" si="0"/>
        <v>7943.7476991125523</v>
      </c>
      <c r="H25" s="63" t="str">
        <f>IFERROR(VLOOKUP(B25,#REF!,10,FALSE),"")</f>
        <v/>
      </c>
      <c r="I25" s="63" t="str">
        <f>IFERROR(VLOOKUP(B25,#REF!,2,FALSE),"")</f>
        <v/>
      </c>
    </row>
    <row r="26" spans="2:9" ht="15.75" x14ac:dyDescent="0.25">
      <c r="B26" s="22" t="s">
        <v>92</v>
      </c>
      <c r="C26" s="63">
        <f>SUM('Local dist eligible'!N26,'Local dist eligible'!Q26,'Local dist eligible'!T26)</f>
        <v>47033.293543676671</v>
      </c>
      <c r="D26" s="63" t="str">
        <f>IFERROR(VLOOKUP(B26,#REF!,9,FALSE),"")</f>
        <v/>
      </c>
      <c r="E26" s="63">
        <f>SUM('Local dist eligible'!O26,'Local dist eligible'!R26,'Local dist eligible'!U26)</f>
        <v>15016.947705171671</v>
      </c>
      <c r="F26" s="63">
        <f>SUM('Local dist eligible'!P26,'Local dist eligible'!S26,'Local dist eligible'!V26)</f>
        <v>3754.2369262929178</v>
      </c>
      <c r="G26" s="63">
        <f t="shared" si="0"/>
        <v>18771.184631464588</v>
      </c>
      <c r="H26" s="63" t="str">
        <f>IFERROR(VLOOKUP(B26,#REF!,10,FALSE),"")</f>
        <v/>
      </c>
      <c r="I26" s="63" t="str">
        <f>IFERROR(VLOOKUP(B26,#REF!,2,FALSE),"")</f>
        <v/>
      </c>
    </row>
    <row r="27" spans="2:9" ht="15.75" x14ac:dyDescent="0.25">
      <c r="B27" s="22" t="s">
        <v>93</v>
      </c>
      <c r="C27" s="63">
        <f>SUM('Local dist eligible'!N27,'Local dist eligible'!Q27,'Local dist eligible'!T27)</f>
        <v>157800.10804871231</v>
      </c>
      <c r="D27" s="63" t="str">
        <f>IFERROR(VLOOKUP(B27,#REF!,9,FALSE),"")</f>
        <v/>
      </c>
      <c r="E27" s="63">
        <f>SUM('Local dist eligible'!O27,'Local dist eligible'!R27,'Local dist eligible'!U27)</f>
        <v>50382.947735467278</v>
      </c>
      <c r="F27" s="63">
        <f>SUM('Local dist eligible'!P27,'Local dist eligible'!S27,'Local dist eligible'!V27)</f>
        <v>12595.73693386682</v>
      </c>
      <c r="G27" s="63">
        <f t="shared" si="0"/>
        <v>62978.684669334099</v>
      </c>
      <c r="H27" s="63" t="str">
        <f>IFERROR(VLOOKUP(B27,#REF!,10,FALSE),"")</f>
        <v/>
      </c>
      <c r="I27" s="63" t="str">
        <f>IFERROR(VLOOKUP(B27,#REF!,2,FALSE),"")</f>
        <v/>
      </c>
    </row>
    <row r="28" spans="2:9" ht="15.75" x14ac:dyDescent="0.25">
      <c r="B28" s="22" t="s">
        <v>94</v>
      </c>
      <c r="C28" s="63">
        <f>SUM('Local dist eligible'!N28,'Local dist eligible'!Q28,'Local dist eligible'!T28)</f>
        <v>992470.65796511946</v>
      </c>
      <c r="D28" s="63" t="str">
        <f>IFERROR(VLOOKUP(B28,#REF!,9,FALSE),"")</f>
        <v/>
      </c>
      <c r="E28" s="63">
        <f>SUM('Local dist eligible'!O28,'Local dist eligible'!R28,'Local dist eligible'!U28)</f>
        <v>316879.36027144862</v>
      </c>
      <c r="F28" s="63">
        <f>SUM('Local dist eligible'!P28,'Local dist eligible'!S28,'Local dist eligible'!V28)</f>
        <v>79219.840067862155</v>
      </c>
      <c r="G28" s="63">
        <f t="shared" si="0"/>
        <v>396099.2003393108</v>
      </c>
      <c r="H28" s="63" t="str">
        <f>IFERROR(VLOOKUP(B28,#REF!,10,FALSE),"")</f>
        <v/>
      </c>
      <c r="I28" s="63" t="str">
        <f>IFERROR(VLOOKUP(B28,#REF!,2,FALSE),"")</f>
        <v/>
      </c>
    </row>
    <row r="29" spans="2:9" ht="15.75" x14ac:dyDescent="0.25">
      <c r="B29" s="22" t="s">
        <v>95</v>
      </c>
      <c r="C29" s="63">
        <f>SUM('Local dist eligible'!N29,'Local dist eligible'!Q29,'Local dist eligible'!T29)</f>
        <v>1393276.1159894944</v>
      </c>
      <c r="D29" s="63" t="str">
        <f>IFERROR(VLOOKUP(B29,#REF!,9,FALSE),"")</f>
        <v/>
      </c>
      <c r="E29" s="63">
        <f>SUM('Local dist eligible'!O29,'Local dist eligible'!R29,'Local dist eligible'!U29)</f>
        <v>444849.87115030288</v>
      </c>
      <c r="F29" s="63">
        <f>SUM('Local dist eligible'!P29,'Local dist eligible'!S29,'Local dist eligible'!V29)</f>
        <v>111212.46778757572</v>
      </c>
      <c r="G29" s="63">
        <f t="shared" si="0"/>
        <v>556062.33893787861</v>
      </c>
      <c r="H29" s="63" t="str">
        <f>IFERROR(VLOOKUP(B29,#REF!,10,FALSE),"")</f>
        <v/>
      </c>
      <c r="I29" s="63" t="str">
        <f>IFERROR(VLOOKUP(B29,#REF!,2,FALSE),"")</f>
        <v/>
      </c>
    </row>
    <row r="30" spans="2:9" ht="15.75" x14ac:dyDescent="0.25">
      <c r="B30" s="22" t="s">
        <v>96</v>
      </c>
      <c r="C30" s="63">
        <f>SUM('Local dist eligible'!N30,'Local dist eligible'!Q30,'Local dist eligible'!T30)</f>
        <v>42602.620963475252</v>
      </c>
      <c r="D30" s="63" t="str">
        <f>IFERROR(VLOOKUP(B30,#REF!,9,FALSE),"")</f>
        <v/>
      </c>
      <c r="E30" s="63">
        <f>SUM('Local dist eligible'!O30,'Local dist eligible'!R30,'Local dist eligible'!U30)</f>
        <v>13602.307703959848</v>
      </c>
      <c r="F30" s="63">
        <f>SUM('Local dist eligible'!P30,'Local dist eligible'!S30,'Local dist eligible'!V30)</f>
        <v>3400.5769259899621</v>
      </c>
      <c r="G30" s="63">
        <f t="shared" si="0"/>
        <v>17002.884629949811</v>
      </c>
      <c r="H30" s="63" t="str">
        <f>IFERROR(VLOOKUP(B30,#REF!,10,FALSE),"")</f>
        <v/>
      </c>
      <c r="I30" s="63" t="str">
        <f>IFERROR(VLOOKUP(B30,#REF!,2,FALSE),"")</f>
        <v/>
      </c>
    </row>
    <row r="31" spans="2:9" ht="15.75" x14ac:dyDescent="0.25">
      <c r="B31" s="22" t="s">
        <v>97</v>
      </c>
      <c r="C31" s="63">
        <f>SUM('Local dist eligible'!N31,'Local dist eligible'!Q31,'Local dist eligible'!T31)</f>
        <v>96452.333861307969</v>
      </c>
      <c r="D31" s="63" t="str">
        <f>IFERROR(VLOOKUP(B31,#REF!,9,FALSE),"")</f>
        <v/>
      </c>
      <c r="E31" s="63">
        <f>SUM('Local dist eligible'!O31,'Local dist eligible'!R31,'Local dist eligible'!U31)</f>
        <v>30795.624641765098</v>
      </c>
      <c r="F31" s="63">
        <f>SUM('Local dist eligible'!P31,'Local dist eligible'!S31,'Local dist eligible'!V31)</f>
        <v>7698.9061604412746</v>
      </c>
      <c r="G31" s="63">
        <f t="shared" si="0"/>
        <v>38494.530802206369</v>
      </c>
      <c r="H31" s="63" t="str">
        <f>IFERROR(VLOOKUP(B31,#REF!,10,FALSE),"")</f>
        <v/>
      </c>
      <c r="I31" s="63" t="str">
        <f>IFERROR(VLOOKUP(B31,#REF!,2,FALSE),"")</f>
        <v/>
      </c>
    </row>
    <row r="32" spans="2:9" ht="15.75" x14ac:dyDescent="0.25">
      <c r="B32" s="22" t="s">
        <v>98</v>
      </c>
      <c r="C32" s="63">
        <f>SUM('Local dist eligible'!N32,'Local dist eligible'!Q32,'Local dist eligible'!T32)</f>
        <v>34082.096770780205</v>
      </c>
      <c r="D32" s="63" t="str">
        <f>IFERROR(VLOOKUP(B32,#REF!,9,FALSE),"")</f>
        <v/>
      </c>
      <c r="E32" s="63">
        <f>SUM('Local dist eligible'!O32,'Local dist eligible'!R32,'Local dist eligible'!U32)</f>
        <v>10881.84616316788</v>
      </c>
      <c r="F32" s="63">
        <f>SUM('Local dist eligible'!P32,'Local dist eligible'!S32,'Local dist eligible'!V32)</f>
        <v>2720.46154079197</v>
      </c>
      <c r="G32" s="63">
        <f t="shared" si="0"/>
        <v>13602.30770395985</v>
      </c>
      <c r="H32" s="63" t="str">
        <f>IFERROR(VLOOKUP(B32,#REF!,10,FALSE),"")</f>
        <v/>
      </c>
      <c r="I32" s="63" t="str">
        <f>IFERROR(VLOOKUP(B32,#REF!,2,FALSE),"")</f>
        <v/>
      </c>
    </row>
    <row r="33" spans="2:9" ht="15.75" x14ac:dyDescent="0.25">
      <c r="B33" s="22" t="s">
        <v>99</v>
      </c>
      <c r="C33" s="63">
        <f>SUM('Local dist eligible'!N33,'Local dist eligible'!Q33,'Local dist eligible'!T33)</f>
        <v>23857.467739546137</v>
      </c>
      <c r="D33" s="63" t="str">
        <f>IFERROR(VLOOKUP(B33,#REF!,9,FALSE),"")</f>
        <v/>
      </c>
      <c r="E33" s="63">
        <f>SUM('Local dist eligible'!O33,'Local dist eligible'!R33,'Local dist eligible'!U33)</f>
        <v>7617.292314217515</v>
      </c>
      <c r="F33" s="63">
        <f>SUM('Local dist eligible'!P33,'Local dist eligible'!S33,'Local dist eligible'!V33)</f>
        <v>1904.3230785543788</v>
      </c>
      <c r="G33" s="63">
        <f t="shared" si="0"/>
        <v>9521.6153927718933</v>
      </c>
      <c r="H33" s="63" t="str">
        <f>IFERROR(VLOOKUP(B33,#REF!,10,FALSE),"")</f>
        <v/>
      </c>
      <c r="I33" s="63" t="str">
        <f>IFERROR(VLOOKUP(B33,#REF!,2,FALSE),"")</f>
        <v/>
      </c>
    </row>
    <row r="34" spans="2:9" ht="15.75" x14ac:dyDescent="0.25">
      <c r="B34" s="22" t="s">
        <v>100</v>
      </c>
      <c r="C34" s="63">
        <f>SUM('Local dist eligible'!N34,'Local dist eligible'!Q34,'Local dist eligible'!T34)</f>
        <v>269248.56448916392</v>
      </c>
      <c r="D34" s="63" t="str">
        <f>IFERROR(VLOOKUP(B34,#REF!,9,FALSE),"")</f>
        <v/>
      </c>
      <c r="E34" s="63">
        <f>SUM('Local dist eligible'!O34,'Local dist eligible'!R34,'Local dist eligible'!U34)</f>
        <v>85966.584689026349</v>
      </c>
      <c r="F34" s="63">
        <f>SUM('Local dist eligible'!P34,'Local dist eligible'!S34,'Local dist eligible'!V34)</f>
        <v>21491.646172256587</v>
      </c>
      <c r="G34" s="63">
        <f t="shared" si="0"/>
        <v>107458.23086128294</v>
      </c>
      <c r="H34" s="63" t="str">
        <f>IFERROR(VLOOKUP(B34,#REF!,10,FALSE),"")</f>
        <v/>
      </c>
      <c r="I34" s="63" t="str">
        <f>IFERROR(VLOOKUP(B34,#REF!,2,FALSE),"")</f>
        <v/>
      </c>
    </row>
    <row r="35" spans="2:9" ht="15.75" x14ac:dyDescent="0.25">
      <c r="B35" s="22" t="s">
        <v>101</v>
      </c>
      <c r="C35" s="63">
        <f>SUM('Local dist eligible'!N35,'Local dist eligible'!Q35,'Local dist eligible'!T35)</f>
        <v>34082.096770780205</v>
      </c>
      <c r="D35" s="63" t="str">
        <f>IFERROR(VLOOKUP(B35,#REF!,9,FALSE),"")</f>
        <v/>
      </c>
      <c r="E35" s="63">
        <f>SUM('Local dist eligible'!O35,'Local dist eligible'!R35,'Local dist eligible'!U35)</f>
        <v>10881.84616316788</v>
      </c>
      <c r="F35" s="63">
        <f>SUM('Local dist eligible'!P35,'Local dist eligible'!S35,'Local dist eligible'!V35)</f>
        <v>2720.46154079197</v>
      </c>
      <c r="G35" s="63">
        <f t="shared" si="0"/>
        <v>13602.30770395985</v>
      </c>
      <c r="H35" s="63" t="str">
        <f>IFERROR(VLOOKUP(B35,#REF!,10,FALSE),"")</f>
        <v/>
      </c>
      <c r="I35" s="63" t="str">
        <f>IFERROR(VLOOKUP(B35,#REF!,2,FALSE),"")</f>
        <v/>
      </c>
    </row>
    <row r="36" spans="2:9" ht="15.75" x14ac:dyDescent="0.25">
      <c r="B36" s="22" t="s">
        <v>102</v>
      </c>
      <c r="C36" s="63">
        <f>SUM('Local dist eligible'!N36,'Local dist eligible'!Q36,'Local dist eligible'!T36)</f>
        <v>217102.95642987022</v>
      </c>
      <c r="D36" s="63" t="str">
        <f>IFERROR(VLOOKUP(B36,#REF!,9,FALSE),"")</f>
        <v/>
      </c>
      <c r="E36" s="63">
        <f>SUM('Local dist eligible'!O36,'Local dist eligible'!R36,'Local dist eligible'!U36)</f>
        <v>69317.360059379498</v>
      </c>
      <c r="F36" s="63">
        <f>SUM('Local dist eligible'!P36,'Local dist eligible'!S36,'Local dist eligible'!V36)</f>
        <v>17329.340014844875</v>
      </c>
      <c r="G36" s="63">
        <f t="shared" si="0"/>
        <v>86646.700074224369</v>
      </c>
      <c r="H36" s="63" t="str">
        <f>IFERROR(VLOOKUP(B36,#REF!,10,FALSE),"")</f>
        <v/>
      </c>
      <c r="I36" s="63" t="str">
        <f>IFERROR(VLOOKUP(B36,#REF!,2,FALSE),"")</f>
        <v/>
      </c>
    </row>
    <row r="37" spans="2:9" ht="15.75" x14ac:dyDescent="0.25">
      <c r="B37" s="22" t="s">
        <v>103</v>
      </c>
      <c r="C37" s="63">
        <f>SUM('Local dist eligible'!N37,'Local dist eligible'!Q37,'Local dist eligible'!T37)</f>
        <v>323098.27738699666</v>
      </c>
      <c r="D37" s="63" t="str">
        <f>IFERROR(VLOOKUP(B37,#REF!,9,FALSE),"")</f>
        <v/>
      </c>
      <c r="E37" s="63">
        <f>SUM('Local dist eligible'!O37,'Local dist eligible'!R37,'Local dist eligible'!U37)</f>
        <v>103159.9016268316</v>
      </c>
      <c r="F37" s="63">
        <f>SUM('Local dist eligible'!P37,'Local dist eligible'!S37,'Local dist eligible'!V37)</f>
        <v>25789.975406707901</v>
      </c>
      <c r="G37" s="63">
        <f t="shared" si="0"/>
        <v>128949.87703353951</v>
      </c>
      <c r="H37" s="63" t="str">
        <f>IFERROR(VLOOKUP(B37,#REF!,10,FALSE),"")</f>
        <v/>
      </c>
      <c r="I37" s="63" t="str">
        <f>IFERROR(VLOOKUP(B37,#REF!,2,FALSE),"")</f>
        <v/>
      </c>
    </row>
    <row r="38" spans="2:9" ht="15.75" x14ac:dyDescent="0.25">
      <c r="B38" s="22" t="s">
        <v>104</v>
      </c>
      <c r="C38" s="63">
        <f>SUM('Local dist eligible'!N38,'Local dist eligible'!Q38,'Local dist eligible'!T38)</f>
        <v>66800.90967072919</v>
      </c>
      <c r="D38" s="63" t="str">
        <f>IFERROR(VLOOKUP(B38,#REF!,9,FALSE),"")</f>
        <v/>
      </c>
      <c r="E38" s="63">
        <f>SUM('Local dist eligible'!O38,'Local dist eligible'!R38,'Local dist eligible'!U38)</f>
        <v>21328.418479809043</v>
      </c>
      <c r="F38" s="63">
        <f>SUM('Local dist eligible'!P38,'Local dist eligible'!S38,'Local dist eligible'!V38)</f>
        <v>5332.1046199522607</v>
      </c>
      <c r="G38" s="63">
        <f t="shared" si="0"/>
        <v>26660.523099761303</v>
      </c>
      <c r="H38" s="63" t="str">
        <f>IFERROR(VLOOKUP(B38,#REF!,10,FALSE),"")</f>
        <v/>
      </c>
      <c r="I38" s="63" t="str">
        <f>IFERROR(VLOOKUP(B38,#REF!,2,FALSE),"")</f>
        <v/>
      </c>
    </row>
    <row r="39" spans="2:9" ht="15.75" x14ac:dyDescent="0.25">
      <c r="B39" s="22" t="s">
        <v>105</v>
      </c>
      <c r="C39" s="63">
        <f>SUM('Local dist eligible'!N39,'Local dist eligible'!Q39,'Local dist eligible'!T39)</f>
        <v>17041.048385390102</v>
      </c>
      <c r="D39" s="63" t="str">
        <f>IFERROR(VLOOKUP(B39,#REF!,9,FALSE),"")</f>
        <v/>
      </c>
      <c r="E39" s="63">
        <f>SUM('Local dist eligible'!O39,'Local dist eligible'!R39,'Local dist eligible'!U39)</f>
        <v>5440.9230815839401</v>
      </c>
      <c r="F39" s="63">
        <f>SUM('Local dist eligible'!P39,'Local dist eligible'!S39,'Local dist eligible'!V39)</f>
        <v>1360.230770395985</v>
      </c>
      <c r="G39" s="63">
        <f t="shared" si="0"/>
        <v>6801.1538519799251</v>
      </c>
      <c r="H39" s="63" t="str">
        <f>IFERROR(VLOOKUP(B39,#REF!,10,FALSE),"")</f>
        <v/>
      </c>
      <c r="I39" s="63" t="str">
        <f>IFERROR(VLOOKUP(B39,#REF!,2,FALSE),"")</f>
        <v/>
      </c>
    </row>
    <row r="40" spans="2:9" ht="15.75" x14ac:dyDescent="0.25">
      <c r="B40" s="22" t="s">
        <v>106</v>
      </c>
      <c r="C40" s="63">
        <f>SUM('Local dist eligible'!N40,'Local dist eligible'!Q40,'Local dist eligible'!T40)</f>
        <v>34422.917738488002</v>
      </c>
      <c r="D40" s="63" t="str">
        <f>IFERROR(VLOOKUP(B40,#REF!,9,FALSE),"")</f>
        <v/>
      </c>
      <c r="E40" s="63">
        <f>SUM('Local dist eligible'!O40,'Local dist eligible'!R40,'Local dist eligible'!U40)</f>
        <v>10990.664624799558</v>
      </c>
      <c r="F40" s="63">
        <f>SUM('Local dist eligible'!P40,'Local dist eligible'!S40,'Local dist eligible'!V40)</f>
        <v>2747.6661561998894</v>
      </c>
      <c r="G40" s="63">
        <f t="shared" si="0"/>
        <v>13738.330780999448</v>
      </c>
      <c r="H40" s="63" t="str">
        <f>IFERROR(VLOOKUP(B40,#REF!,10,FALSE),"")</f>
        <v/>
      </c>
      <c r="I40" s="63" t="str">
        <f>IFERROR(VLOOKUP(B40,#REF!,2,FALSE),"")</f>
        <v/>
      </c>
    </row>
    <row r="41" spans="2:9" ht="15.75" x14ac:dyDescent="0.25">
      <c r="B41" s="22" t="s">
        <v>107</v>
      </c>
      <c r="C41" s="63">
        <f>SUM('Local dist eligible'!N41,'Local dist eligible'!Q41,'Local dist eligible'!T41)</f>
        <v>2955599.4319620626</v>
      </c>
      <c r="D41" s="63" t="str">
        <f>IFERROR(VLOOKUP(B41,#REF!,9,FALSE),"")</f>
        <v/>
      </c>
      <c r="E41" s="63">
        <f>SUM('Local dist eligible'!O41,'Local dist eligible'!R41,'Local dist eligible'!U41)</f>
        <v>943673.69926991954</v>
      </c>
      <c r="F41" s="63">
        <f>SUM('Local dist eligible'!P41,'Local dist eligible'!S41,'Local dist eligible'!V41)</f>
        <v>235918.42481747988</v>
      </c>
      <c r="G41" s="63">
        <f t="shared" si="0"/>
        <v>1179592.1240873993</v>
      </c>
      <c r="H41" s="63" t="str">
        <f>IFERROR(VLOOKUP(B41,#REF!,10,FALSE),"")</f>
        <v/>
      </c>
      <c r="I41" s="63" t="str">
        <f>IFERROR(VLOOKUP(B41,#REF!,2,FALSE),"")</f>
        <v/>
      </c>
    </row>
    <row r="42" spans="2:9" ht="15.75" x14ac:dyDescent="0.25">
      <c r="B42" s="22" t="s">
        <v>36</v>
      </c>
      <c r="C42" s="63">
        <f>SUM('Local dist eligible'!N42,'Local dist eligible'!Q42,'Local dist eligible'!T42)</f>
        <v>91680.84031339873</v>
      </c>
      <c r="D42" s="63" t="str">
        <f>IFERROR(VLOOKUP(B42,#REF!,9,FALSE),"")</f>
        <v/>
      </c>
      <c r="E42" s="63">
        <f>SUM('Local dist eligible'!O42,'Local dist eligible'!R42,'Local dist eligible'!U42)</f>
        <v>29272.166178921594</v>
      </c>
      <c r="F42" s="63">
        <f>SUM('Local dist eligible'!P42,'Local dist eligible'!S42,'Local dist eligible'!V42)</f>
        <v>7318.0415447303985</v>
      </c>
      <c r="G42" s="63">
        <f t="shared" si="0"/>
        <v>36590.207723651991</v>
      </c>
      <c r="H42" s="63" t="str">
        <f>IFERROR(VLOOKUP(B42,#REF!,10,FALSE),"")</f>
        <v/>
      </c>
      <c r="I42" s="63" t="str">
        <f>IFERROR(VLOOKUP(B42,#REF!,2,FALSE),"")</f>
        <v/>
      </c>
    </row>
    <row r="43" spans="2:9" ht="15.75" x14ac:dyDescent="0.25">
      <c r="B43" s="22" t="s">
        <v>108</v>
      </c>
      <c r="C43" s="63">
        <f>SUM('Local dist eligible'!N43,'Local dist eligible'!Q43,'Local dist eligible'!T43)</f>
        <v>34763.738706195807</v>
      </c>
      <c r="D43" s="63" t="str">
        <f>IFERROR(VLOOKUP(B43,#REF!,9,FALSE),"")</f>
        <v/>
      </c>
      <c r="E43" s="63">
        <f>SUM('Local dist eligible'!O43,'Local dist eligible'!R43,'Local dist eligible'!U43)</f>
        <v>11099.483086431239</v>
      </c>
      <c r="F43" s="63">
        <f>SUM('Local dist eligible'!P43,'Local dist eligible'!S43,'Local dist eligible'!V43)</f>
        <v>2774.8707716078097</v>
      </c>
      <c r="G43" s="63">
        <f t="shared" si="0"/>
        <v>13874.353858039049</v>
      </c>
      <c r="H43" s="63" t="str">
        <f>IFERROR(VLOOKUP(B43,#REF!,10,FALSE),"")</f>
        <v/>
      </c>
      <c r="I43" s="63" t="str">
        <f>IFERROR(VLOOKUP(B43,#REF!,2,FALSE),"")</f>
        <v/>
      </c>
    </row>
    <row r="44" spans="2:9" ht="15.75" x14ac:dyDescent="0.25">
      <c r="B44" s="22" t="s">
        <v>109</v>
      </c>
      <c r="C44" s="63">
        <f>SUM('Local dist eligible'!N44,'Local dist eligible'!Q44,'Local dist eligible'!T44)</f>
        <v>412393.37092644034</v>
      </c>
      <c r="D44" s="63" t="str">
        <f>IFERROR(VLOOKUP(B44,#REF!,9,FALSE),"")</f>
        <v/>
      </c>
      <c r="E44" s="63">
        <f>SUM('Local dist eligible'!O44,'Local dist eligible'!R44,'Local dist eligible'!U44)</f>
        <v>131670.33857433131</v>
      </c>
      <c r="F44" s="63">
        <f>SUM('Local dist eligible'!P44,'Local dist eligible'!S44,'Local dist eligible'!V44)</f>
        <v>32917.584643582828</v>
      </c>
      <c r="G44" s="63">
        <f t="shared" si="0"/>
        <v>164587.92321791413</v>
      </c>
      <c r="H44" s="63" t="str">
        <f>IFERROR(VLOOKUP(B44,#REF!,10,FALSE),"")</f>
        <v/>
      </c>
      <c r="I44" s="63" t="str">
        <f>IFERROR(VLOOKUP(B44,#REF!,2,FALSE),"")</f>
        <v/>
      </c>
    </row>
    <row r="45" spans="2:9" ht="15.75" x14ac:dyDescent="0.25">
      <c r="B45" s="22" t="s">
        <v>110</v>
      </c>
      <c r="C45" s="63">
        <f>SUM('Local dist eligible'!N45,'Local dist eligible'!Q45,'Local dist eligible'!T45)</f>
        <v>62029.416122819966</v>
      </c>
      <c r="D45" s="63" t="str">
        <f>IFERROR(VLOOKUP(B45,#REF!,9,FALSE),"")</f>
        <v/>
      </c>
      <c r="E45" s="63">
        <f>SUM('Local dist eligible'!O45,'Local dist eligible'!R45,'Local dist eligible'!U45)</f>
        <v>19804.960016965539</v>
      </c>
      <c r="F45" s="63">
        <f>SUM('Local dist eligible'!P45,'Local dist eligible'!S45,'Local dist eligible'!V45)</f>
        <v>4951.2400042413847</v>
      </c>
      <c r="G45" s="63">
        <f t="shared" si="0"/>
        <v>24756.200021206925</v>
      </c>
      <c r="H45" s="63" t="str">
        <f>IFERROR(VLOOKUP(B45,#REF!,10,FALSE),"")</f>
        <v/>
      </c>
      <c r="I45" s="63" t="str">
        <f>IFERROR(VLOOKUP(B45,#REF!,2,FALSE),"")</f>
        <v/>
      </c>
    </row>
    <row r="46" spans="2:9" ht="15.75" x14ac:dyDescent="0.25">
      <c r="B46" s="22" t="s">
        <v>111</v>
      </c>
      <c r="C46" s="63">
        <f>SUM('Local dist eligible'!N46,'Local dist eligible'!Q46,'Local dist eligible'!T46)</f>
        <v>66119.26773531358</v>
      </c>
      <c r="D46" s="63" t="str">
        <f>IFERROR(VLOOKUP(B46,#REF!,9,FALSE),"")</f>
        <v/>
      </c>
      <c r="E46" s="63">
        <f>SUM('Local dist eligible'!O46,'Local dist eligible'!R46,'Local dist eligible'!U46)</f>
        <v>21110.781556545684</v>
      </c>
      <c r="F46" s="63">
        <f>SUM('Local dist eligible'!P46,'Local dist eligible'!S46,'Local dist eligible'!V46)</f>
        <v>5277.695389136421</v>
      </c>
      <c r="G46" s="63">
        <f t="shared" si="0"/>
        <v>26388.476945682105</v>
      </c>
      <c r="H46" s="63" t="str">
        <f>IFERROR(VLOOKUP(B46,#REF!,10,FALSE),"")</f>
        <v/>
      </c>
      <c r="I46" s="63" t="str">
        <f>IFERROR(VLOOKUP(B46,#REF!,2,FALSE),"")</f>
        <v/>
      </c>
    </row>
    <row r="47" spans="2:9" ht="15.75" x14ac:dyDescent="0.25">
      <c r="B47" s="22" t="s">
        <v>112</v>
      </c>
      <c r="C47" s="63">
        <f>SUM('Local dist eligible'!N47,'Local dist eligible'!Q47,'Local dist eligible'!T47)</f>
        <v>325143.20319324342</v>
      </c>
      <c r="D47" s="63" t="str">
        <f>IFERROR(VLOOKUP(B47,#REF!,9,FALSE),"")</f>
        <v/>
      </c>
      <c r="E47" s="63">
        <f>SUM('Local dist eligible'!O47,'Local dist eligible'!R47,'Local dist eligible'!U47)</f>
        <v>103812.81239662168</v>
      </c>
      <c r="F47" s="63">
        <f>SUM('Local dist eligible'!P47,'Local dist eligible'!S47,'Local dist eligible'!V47)</f>
        <v>25953.20309915542</v>
      </c>
      <c r="G47" s="63">
        <f t="shared" si="0"/>
        <v>129766.0154957771</v>
      </c>
      <c r="H47" s="63" t="str">
        <f>IFERROR(VLOOKUP(B47,#REF!,10,FALSE),"")</f>
        <v/>
      </c>
      <c r="I47" s="63" t="str">
        <f>IFERROR(VLOOKUP(B47,#REF!,2,FALSE),"")</f>
        <v/>
      </c>
    </row>
    <row r="48" spans="2:9" ht="15.75" x14ac:dyDescent="0.25">
      <c r="B48" s="22" t="s">
        <v>113</v>
      </c>
      <c r="C48" s="63">
        <f>SUM('Local dist eligible'!N48,'Local dist eligible'!Q48,'Local dist eligible'!T48)</f>
        <v>26924.856448916358</v>
      </c>
      <c r="D48" s="63" t="str">
        <f>IFERROR(VLOOKUP(B48,#REF!,9,FALSE),"")</f>
        <v/>
      </c>
      <c r="E48" s="63">
        <f>SUM('Local dist eligible'!O48,'Local dist eligible'!R48,'Local dist eligible'!U48)</f>
        <v>8596.658468902624</v>
      </c>
      <c r="F48" s="63">
        <f>SUM('Local dist eligible'!P48,'Local dist eligible'!S48,'Local dist eligible'!V48)</f>
        <v>2149.164617225656</v>
      </c>
      <c r="G48" s="63">
        <f t="shared" si="0"/>
        <v>10745.823086128279</v>
      </c>
      <c r="H48" s="63" t="str">
        <f>IFERROR(VLOOKUP(B48,#REF!,10,FALSE),"")</f>
        <v/>
      </c>
      <c r="I48" s="63" t="str">
        <f>IFERROR(VLOOKUP(B48,#REF!,2,FALSE),"")</f>
        <v/>
      </c>
    </row>
    <row r="49" spans="2:9" ht="15.75" x14ac:dyDescent="0.25">
      <c r="B49" s="22" t="s">
        <v>114</v>
      </c>
      <c r="C49" s="63">
        <f>SUM('Local dist eligible'!N49,'Local dist eligible'!Q49,'Local dist eligible'!T49)</f>
        <v>435228.37576286314</v>
      </c>
      <c r="D49" s="63" t="str">
        <f>IFERROR(VLOOKUP(B49,#REF!,9,FALSE),"")</f>
        <v/>
      </c>
      <c r="E49" s="63">
        <f>SUM('Local dist eligible'!O49,'Local dist eligible'!R49,'Local dist eligible'!U49)</f>
        <v>138961.17550365382</v>
      </c>
      <c r="F49" s="63">
        <f>SUM('Local dist eligible'!P49,'Local dist eligible'!S49,'Local dist eligible'!V49)</f>
        <v>34740.293875913456</v>
      </c>
      <c r="G49" s="63">
        <f t="shared" si="0"/>
        <v>173701.46937956728</v>
      </c>
      <c r="H49" s="63" t="str">
        <f>IFERROR(VLOOKUP(B49,#REF!,10,FALSE),"")</f>
        <v/>
      </c>
      <c r="I49" s="63" t="str">
        <f>IFERROR(VLOOKUP(B49,#REF!,2,FALSE),"")</f>
        <v/>
      </c>
    </row>
    <row r="50" spans="2:9" ht="15.75" x14ac:dyDescent="0.25">
      <c r="B50" s="22" t="s">
        <v>115</v>
      </c>
      <c r="C50" s="63">
        <f>SUM('Local dist eligible'!N50,'Local dist eligible'!Q50,'Local dist eligible'!T50)</f>
        <v>178590.18707888824</v>
      </c>
      <c r="D50" s="63" t="str">
        <f>IFERROR(VLOOKUP(B50,#REF!,9,FALSE),"")</f>
        <v/>
      </c>
      <c r="E50" s="63">
        <f>SUM('Local dist eligible'!O50,'Local dist eligible'!R50,'Local dist eligible'!U50)</f>
        <v>57020.873894999684</v>
      </c>
      <c r="F50" s="63">
        <f>SUM('Local dist eligible'!P50,'Local dist eligible'!S50,'Local dist eligible'!V50)</f>
        <v>14255.218473749921</v>
      </c>
      <c r="G50" s="63">
        <f t="shared" si="0"/>
        <v>71276.092368749611</v>
      </c>
      <c r="H50" s="63" t="str">
        <f>IFERROR(VLOOKUP(B50,#REF!,10,FALSE),"")</f>
        <v/>
      </c>
      <c r="I50" s="63" t="str">
        <f>IFERROR(VLOOKUP(B50,#REF!,2,FALSE),"")</f>
        <v/>
      </c>
    </row>
    <row r="51" spans="2:9" ht="15.75" x14ac:dyDescent="0.25">
      <c r="B51" s="22" t="s">
        <v>116</v>
      </c>
      <c r="C51" s="63">
        <f>SUM('Local dist eligible'!N51,'Local dist eligible'!Q51,'Local dist eligible'!T51)</f>
        <v>47374.114511384483</v>
      </c>
      <c r="D51" s="63" t="str">
        <f>IFERROR(VLOOKUP(B51,#REF!,9,FALSE),"")</f>
        <v/>
      </c>
      <c r="E51" s="63">
        <f>SUM('Local dist eligible'!O51,'Local dist eligible'!R51,'Local dist eligible'!U51)</f>
        <v>15125.766166803352</v>
      </c>
      <c r="F51" s="63">
        <f>SUM('Local dist eligible'!P51,'Local dist eligible'!S51,'Local dist eligible'!V51)</f>
        <v>3781.4415417008381</v>
      </c>
      <c r="G51" s="63">
        <f t="shared" si="0"/>
        <v>18907.207708504189</v>
      </c>
      <c r="H51" s="63" t="str">
        <f>IFERROR(VLOOKUP(B51,#REF!,10,FALSE),"")</f>
        <v/>
      </c>
      <c r="I51" s="63" t="str">
        <f>IFERROR(VLOOKUP(B51,#REF!,2,FALSE),"")</f>
        <v/>
      </c>
    </row>
    <row r="52" spans="2:9" ht="15.75" x14ac:dyDescent="0.25">
      <c r="B52" s="22" t="s">
        <v>117</v>
      </c>
      <c r="C52" s="63">
        <f>SUM('Local dist eligible'!N52,'Local dist eligible'!Q52,'Local dist eligible'!T52)</f>
        <v>139395.77579249101</v>
      </c>
      <c r="D52" s="63" t="str">
        <f>IFERROR(VLOOKUP(B52,#REF!,9,FALSE),"")</f>
        <v/>
      </c>
      <c r="E52" s="63">
        <f>SUM('Local dist eligible'!O52,'Local dist eligible'!R52,'Local dist eligible'!U52)</f>
        <v>44506.75080735662</v>
      </c>
      <c r="F52" s="63">
        <f>SUM('Local dist eligible'!P52,'Local dist eligible'!S52,'Local dist eligible'!V52)</f>
        <v>11126.687701839155</v>
      </c>
      <c r="G52" s="63">
        <f t="shared" si="0"/>
        <v>55633.438509195774</v>
      </c>
      <c r="H52" s="63" t="str">
        <f>IFERROR(VLOOKUP(B52,#REF!,10,FALSE),"")</f>
        <v/>
      </c>
      <c r="I52" s="63" t="str">
        <f>IFERROR(VLOOKUP(B52,#REF!,2,FALSE),"")</f>
        <v/>
      </c>
    </row>
    <row r="53" spans="2:9" ht="15.75" x14ac:dyDescent="0.25">
      <c r="B53" s="22" t="s">
        <v>118</v>
      </c>
      <c r="C53" s="63">
        <f>SUM('Local dist eligible'!N53,'Local dist eligible'!Q53,'Local dist eligible'!T53)</f>
        <v>144508.09030810805</v>
      </c>
      <c r="D53" s="63" t="str">
        <f>IFERROR(VLOOKUP(B53,#REF!,9,FALSE),"")</f>
        <v/>
      </c>
      <c r="E53" s="63">
        <f>SUM('Local dist eligible'!O53,'Local dist eligible'!R53,'Local dist eligible'!U53)</f>
        <v>46139.027731831811</v>
      </c>
      <c r="F53" s="63">
        <f>SUM('Local dist eligible'!P53,'Local dist eligible'!S53,'Local dist eligible'!V53)</f>
        <v>11534.756932957953</v>
      </c>
      <c r="G53" s="63">
        <f t="shared" si="0"/>
        <v>57673.784664789768</v>
      </c>
      <c r="H53" s="63" t="str">
        <f>IFERROR(VLOOKUP(B53,#REF!,10,FALSE),"")</f>
        <v/>
      </c>
      <c r="I53" s="63" t="str">
        <f>IFERROR(VLOOKUP(B53,#REF!,2,FALSE),"")</f>
        <v/>
      </c>
    </row>
    <row r="54" spans="2:9" ht="15.75" x14ac:dyDescent="0.25">
      <c r="B54" s="22" t="s">
        <v>119</v>
      </c>
      <c r="C54" s="63">
        <f>SUM('Local dist eligible'!N54,'Local dist eligible'!Q54,'Local dist eligible'!T54)</f>
        <v>76684.71773425545</v>
      </c>
      <c r="D54" s="63" t="str">
        <f>IFERROR(VLOOKUP(B54,#REF!,9,FALSE),"")</f>
        <v/>
      </c>
      <c r="E54" s="63">
        <f>SUM('Local dist eligible'!O54,'Local dist eligible'!R54,'Local dist eligible'!U54)</f>
        <v>24484.153867127727</v>
      </c>
      <c r="F54" s="63">
        <f>SUM('Local dist eligible'!P54,'Local dist eligible'!S54,'Local dist eligible'!V54)</f>
        <v>6121.0384667819317</v>
      </c>
      <c r="G54" s="63">
        <f t="shared" si="0"/>
        <v>30605.192333909657</v>
      </c>
      <c r="H54" s="63" t="str">
        <f>IFERROR(VLOOKUP(B54,#REF!,10,FALSE),"")</f>
        <v/>
      </c>
      <c r="I54" s="63" t="str">
        <f>IFERROR(VLOOKUP(B54,#REF!,2,FALSE),"")</f>
        <v/>
      </c>
    </row>
    <row r="55" spans="2:9" ht="15.75" x14ac:dyDescent="0.25">
      <c r="B55" s="22" t="s">
        <v>120</v>
      </c>
      <c r="C55" s="63">
        <f>SUM('Local dist eligible'!N55,'Local dist eligible'!Q55,'Local dist eligible'!T55)</f>
        <v>76343.896766547652</v>
      </c>
      <c r="D55" s="63" t="str">
        <f>IFERROR(VLOOKUP(B55,#REF!,9,FALSE),"")</f>
        <v/>
      </c>
      <c r="E55" s="63">
        <f>SUM('Local dist eligible'!O55,'Local dist eligible'!R55,'Local dist eligible'!U55)</f>
        <v>24375.335405496051</v>
      </c>
      <c r="F55" s="63">
        <f>SUM('Local dist eligible'!P55,'Local dist eligible'!S55,'Local dist eligible'!V55)</f>
        <v>6093.8338513740127</v>
      </c>
      <c r="G55" s="63">
        <f t="shared" si="0"/>
        <v>30469.169256870064</v>
      </c>
      <c r="H55" s="63" t="str">
        <f>IFERROR(VLOOKUP(B55,#REF!,10,FALSE),"")</f>
        <v/>
      </c>
      <c r="I55" s="63" t="str">
        <f>IFERROR(VLOOKUP(B55,#REF!,2,FALSE),"")</f>
        <v/>
      </c>
    </row>
    <row r="56" spans="2:9" ht="15.75" x14ac:dyDescent="0.25">
      <c r="B56" s="22" t="s">
        <v>121</v>
      </c>
      <c r="C56" s="63">
        <f>SUM('Local dist eligible'!N56,'Local dist eligible'!Q56,'Local dist eligible'!T56)</f>
        <v>60666.132251988762</v>
      </c>
      <c r="D56" s="63" t="str">
        <f>IFERROR(VLOOKUP(B56,#REF!,9,FALSE),"")</f>
        <v/>
      </c>
      <c r="E56" s="63">
        <f>SUM('Local dist eligible'!O56,'Local dist eligible'!R56,'Local dist eligible'!U56)</f>
        <v>19369.686170438828</v>
      </c>
      <c r="F56" s="63">
        <f>SUM('Local dist eligible'!P56,'Local dist eligible'!S56,'Local dist eligible'!V56)</f>
        <v>4842.4215426097071</v>
      </c>
      <c r="G56" s="63">
        <f t="shared" si="0"/>
        <v>24212.107713048536</v>
      </c>
      <c r="H56" s="63" t="str">
        <f>IFERROR(VLOOKUP(B56,#REF!,10,FALSE),"")</f>
        <v/>
      </c>
      <c r="I56" s="63" t="str">
        <f>IFERROR(VLOOKUP(B56,#REF!,2,FALSE),"")</f>
        <v/>
      </c>
    </row>
    <row r="57" spans="2:9" ht="15.75" x14ac:dyDescent="0.25">
      <c r="B57" s="22" t="s">
        <v>122</v>
      </c>
      <c r="C57" s="63">
        <f>SUM('Local dist eligible'!N57,'Local dist eligible'!Q57,'Local dist eligible'!T57)</f>
        <v>42261.799995767455</v>
      </c>
      <c r="D57" s="63" t="str">
        <f>IFERROR(VLOOKUP(B57,#REF!,9,FALSE),"")</f>
        <v/>
      </c>
      <c r="E57" s="63">
        <f>SUM('Local dist eligible'!O57,'Local dist eligible'!R57,'Local dist eligible'!U57)</f>
        <v>13493.489242328171</v>
      </c>
      <c r="F57" s="63">
        <f>SUM('Local dist eligible'!P57,'Local dist eligible'!S57,'Local dist eligible'!V57)</f>
        <v>3373.3723105820427</v>
      </c>
      <c r="G57" s="63">
        <f t="shared" si="0"/>
        <v>16866.861552910214</v>
      </c>
      <c r="H57" s="63" t="str">
        <f>IFERROR(VLOOKUP(B57,#REF!,10,FALSE),"")</f>
        <v/>
      </c>
      <c r="I57" s="63" t="str">
        <f>IFERROR(VLOOKUP(B57,#REF!,2,FALSE),"")</f>
        <v/>
      </c>
    </row>
    <row r="58" spans="2:9" ht="15.75" x14ac:dyDescent="0.25">
      <c r="B58" s="22" t="s">
        <v>123</v>
      </c>
      <c r="C58" s="63">
        <f>SUM('Local dist eligible'!N58,'Local dist eligible'!Q58,'Local dist eligible'!T58)</f>
        <v>120309.80160085409</v>
      </c>
      <c r="D58" s="63" t="str">
        <f>IFERROR(VLOOKUP(B58,#REF!,9,FALSE),"")</f>
        <v/>
      </c>
      <c r="E58" s="63">
        <f>SUM('Local dist eligible'!O58,'Local dist eligible'!R58,'Local dist eligible'!U58)</f>
        <v>38412.916955982611</v>
      </c>
      <c r="F58" s="63">
        <f>SUM('Local dist eligible'!P58,'Local dist eligible'!S58,'Local dist eligible'!V58)</f>
        <v>9603.2292389956528</v>
      </c>
      <c r="G58" s="63">
        <f t="shared" si="0"/>
        <v>48016.146194978268</v>
      </c>
      <c r="H58" s="63" t="str">
        <f>IFERROR(VLOOKUP(B58,#REF!,10,FALSE),"")</f>
        <v/>
      </c>
      <c r="I58" s="63" t="str">
        <f>IFERROR(VLOOKUP(B58,#REF!,2,FALSE),"")</f>
        <v/>
      </c>
    </row>
    <row r="59" spans="2:9" ht="15.75" x14ac:dyDescent="0.25">
      <c r="B59" s="22" t="s">
        <v>124</v>
      </c>
      <c r="C59" s="63">
        <f>SUM('Local dist eligible'!N59,'Local dist eligible'!Q59,'Local dist eligible'!T59)</f>
        <v>524182.64833459945</v>
      </c>
      <c r="D59" s="63" t="str">
        <f>IFERROR(VLOOKUP(B59,#REF!,9,FALSE),"")</f>
        <v/>
      </c>
      <c r="E59" s="63">
        <f>SUM('Local dist eligible'!O59,'Local dist eligible'!R59,'Local dist eligible'!U59)</f>
        <v>167362.79398952198</v>
      </c>
      <c r="F59" s="63">
        <f>SUM('Local dist eligible'!P59,'Local dist eligible'!S59,'Local dist eligible'!V59)</f>
        <v>41840.698497380494</v>
      </c>
      <c r="G59" s="63">
        <f t="shared" si="0"/>
        <v>209203.49248690245</v>
      </c>
      <c r="H59" s="63" t="str">
        <f>IFERROR(VLOOKUP(B59,#REF!,10,FALSE),"")</f>
        <v/>
      </c>
      <c r="I59" s="63" t="str">
        <f>IFERROR(VLOOKUP(B59,#REF!,2,FALSE),"")</f>
        <v/>
      </c>
    </row>
    <row r="60" spans="2:9" ht="15.75" x14ac:dyDescent="0.25">
      <c r="B60" s="22" t="s">
        <v>125</v>
      </c>
      <c r="C60" s="63">
        <f>SUM('Local dist eligible'!N60,'Local dist eligible'!Q60,'Local dist eligible'!T60)</f>
        <v>367745.82415671833</v>
      </c>
      <c r="D60" s="63" t="str">
        <f>IFERROR(VLOOKUP(B60,#REF!,9,FALSE),"")</f>
        <v/>
      </c>
      <c r="E60" s="63">
        <f>SUM('Local dist eligible'!O60,'Local dist eligible'!R60,'Local dist eligible'!U60)</f>
        <v>117415.12010058142</v>
      </c>
      <c r="F60" s="63">
        <f>SUM('Local dist eligible'!P60,'Local dist eligible'!S60,'Local dist eligible'!V60)</f>
        <v>29353.780025145355</v>
      </c>
      <c r="G60" s="63">
        <f t="shared" si="0"/>
        <v>146768.90012572677</v>
      </c>
      <c r="H60" s="63" t="str">
        <f>IFERROR(VLOOKUP(B60,#REF!,10,FALSE),"")</f>
        <v/>
      </c>
      <c r="I60" s="63" t="str">
        <f>IFERROR(VLOOKUP(B60,#REF!,2,FALSE),"")</f>
        <v/>
      </c>
    </row>
    <row r="61" spans="2:9" ht="15.75" x14ac:dyDescent="0.25">
      <c r="B61" s="22" t="s">
        <v>126</v>
      </c>
      <c r="C61" s="63">
        <f>SUM('Local dist eligible'!N61,'Local dist eligible'!Q61,'Local dist eligible'!T61)</f>
        <v>178249.3661111808</v>
      </c>
      <c r="D61" s="63" t="str">
        <f>IFERROR(VLOOKUP(B61,#REF!,9,FALSE),"")</f>
        <v/>
      </c>
      <c r="E61" s="63">
        <f>SUM('Local dist eligible'!O61,'Local dist eligible'!R61,'Local dist eligible'!U61)</f>
        <v>56912.055433368114</v>
      </c>
      <c r="F61" s="63">
        <f>SUM('Local dist eligible'!P61,'Local dist eligible'!S61,'Local dist eligible'!V61)</f>
        <v>14228.013858342028</v>
      </c>
      <c r="G61" s="63">
        <f t="shared" si="0"/>
        <v>71140.069291710141</v>
      </c>
      <c r="H61" s="63" t="str">
        <f>IFERROR(VLOOKUP(B61,#REF!,10,FALSE),"")</f>
        <v/>
      </c>
      <c r="I61" s="63" t="str">
        <f>IFERROR(VLOOKUP(B61,#REF!,2,FALSE),"")</f>
        <v/>
      </c>
    </row>
    <row r="62" spans="2:9" ht="15.75" x14ac:dyDescent="0.25">
      <c r="B62" s="22" t="s">
        <v>127</v>
      </c>
      <c r="C62" s="63">
        <f>SUM('Local dist eligible'!N62,'Local dist eligible'!Q62,'Local dist eligible'!T62)</f>
        <v>1524492.1885569985</v>
      </c>
      <c r="D62" s="63" t="str">
        <f>IFERROR(VLOOKUP(B62,#REF!,9,FALSE),"")</f>
        <v/>
      </c>
      <c r="E62" s="63">
        <f>SUM('Local dist eligible'!O62,'Local dist eligible'!R62,'Local dist eligible'!U62)</f>
        <v>486744.9788784993</v>
      </c>
      <c r="F62" s="63">
        <f>SUM('Local dist eligible'!P62,'Local dist eligible'!S62,'Local dist eligible'!V62)</f>
        <v>121686.24471962482</v>
      </c>
      <c r="G62" s="63">
        <f t="shared" si="0"/>
        <v>608431.22359812411</v>
      </c>
      <c r="H62" s="63" t="str">
        <f>IFERROR(VLOOKUP(B62,#REF!,10,FALSE),"")</f>
        <v/>
      </c>
      <c r="I62" s="63" t="str">
        <f>IFERROR(VLOOKUP(B62,#REF!,2,FALSE),"")</f>
        <v/>
      </c>
    </row>
    <row r="63" spans="2:9" ht="15.75" x14ac:dyDescent="0.25">
      <c r="B63" s="22" t="s">
        <v>128</v>
      </c>
      <c r="C63" s="63">
        <f>SUM('Local dist eligible'!N63,'Local dist eligible'!Q63,'Local dist eligible'!T63)</f>
        <v>415801.58060351847</v>
      </c>
      <c r="D63" s="63" t="str">
        <f>IFERROR(VLOOKUP(B63,#REF!,9,FALSE),"")</f>
        <v/>
      </c>
      <c r="E63" s="63">
        <f>SUM('Local dist eligible'!O63,'Local dist eligible'!R63,'Local dist eligible'!U63)</f>
        <v>132758.52319064812</v>
      </c>
      <c r="F63" s="63">
        <f>SUM('Local dist eligible'!P63,'Local dist eligible'!S63,'Local dist eligible'!V63)</f>
        <v>33189.63079766203</v>
      </c>
      <c r="G63" s="63">
        <f t="shared" si="0"/>
        <v>165948.15398831014</v>
      </c>
      <c r="H63" s="63" t="str">
        <f>IFERROR(VLOOKUP(B63,#REF!,10,FALSE),"")</f>
        <v/>
      </c>
      <c r="I63" s="63" t="str">
        <f>IFERROR(VLOOKUP(B63,#REF!,2,FALSE),"")</f>
        <v/>
      </c>
    </row>
    <row r="64" spans="2:9" ht="15.75" x14ac:dyDescent="0.25">
      <c r="B64" s="22" t="s">
        <v>129</v>
      </c>
      <c r="C64" s="63">
        <f>SUM('Local dist eligible'!N64,'Local dist eligible'!Q64,'Local dist eligible'!T64)</f>
        <v>7838.8822572794452</v>
      </c>
      <c r="D64" s="63" t="str">
        <f>IFERROR(VLOOKUP(B64,#REF!,9,FALSE),"")</f>
        <v/>
      </c>
      <c r="E64" s="63">
        <f>SUM('Local dist eligible'!O64,'Local dist eligible'!R64,'Local dist eligible'!U64)</f>
        <v>2502.8246175286122</v>
      </c>
      <c r="F64" s="63">
        <f>SUM('Local dist eligible'!P64,'Local dist eligible'!S64,'Local dist eligible'!V64)</f>
        <v>625.70615438215304</v>
      </c>
      <c r="G64" s="63">
        <f t="shared" si="0"/>
        <v>3128.530771910765</v>
      </c>
      <c r="H64" s="63" t="str">
        <f>IFERROR(VLOOKUP(B64,#REF!,10,FALSE),"")</f>
        <v/>
      </c>
      <c r="I64" s="63" t="str">
        <f>IFERROR(VLOOKUP(B64,#REF!,2,FALSE),"")</f>
        <v/>
      </c>
    </row>
    <row r="65" spans="2:9" ht="15.75" x14ac:dyDescent="0.25">
      <c r="B65" s="22" t="s">
        <v>130</v>
      </c>
      <c r="C65" s="63">
        <f>SUM('Local dist eligible'!N65,'Local dist eligible'!Q65,'Local dist eligible'!T65)</f>
        <v>117242.41289148389</v>
      </c>
      <c r="D65" s="63" t="str">
        <f>IFERROR(VLOOKUP(B65,#REF!,9,FALSE),"")</f>
        <v/>
      </c>
      <c r="E65" s="63">
        <f>SUM('Local dist eligible'!O65,'Local dist eligible'!R65,'Local dist eligible'!U65)</f>
        <v>37433.550801297504</v>
      </c>
      <c r="F65" s="63">
        <f>SUM('Local dist eligible'!P65,'Local dist eligible'!S65,'Local dist eligible'!V65)</f>
        <v>9358.3877003243761</v>
      </c>
      <c r="G65" s="63">
        <f t="shared" si="0"/>
        <v>46791.93850162188</v>
      </c>
      <c r="H65" s="63" t="str">
        <f>IFERROR(VLOOKUP(B65,#REF!,10,FALSE),"")</f>
        <v/>
      </c>
      <c r="I65" s="63" t="str">
        <f>IFERROR(VLOOKUP(B65,#REF!,2,FALSE),"")</f>
        <v/>
      </c>
    </row>
    <row r="66" spans="2:9" ht="15.75" x14ac:dyDescent="0.25">
      <c r="B66" s="22" t="s">
        <v>131</v>
      </c>
      <c r="C66" s="63">
        <f>SUM('Local dist eligible'!N66,'Local dist eligible'!Q66,'Local dist eligible'!T66)</f>
        <v>121332.26450397752</v>
      </c>
      <c r="D66" s="63" t="str">
        <f>IFERROR(VLOOKUP(B66,#REF!,9,FALSE),"")</f>
        <v/>
      </c>
      <c r="E66" s="63">
        <f>SUM('Local dist eligible'!O66,'Local dist eligible'!R66,'Local dist eligible'!U66)</f>
        <v>38739.372340877657</v>
      </c>
      <c r="F66" s="63">
        <f>SUM('Local dist eligible'!P66,'Local dist eligible'!S66,'Local dist eligible'!V66)</f>
        <v>9684.8430852194142</v>
      </c>
      <c r="G66" s="63">
        <f t="shared" si="0"/>
        <v>48424.215426097071</v>
      </c>
      <c r="H66" s="63" t="str">
        <f>IFERROR(VLOOKUP(B66,#REF!,10,FALSE),"")</f>
        <v/>
      </c>
      <c r="I66" s="63" t="str">
        <f>IFERROR(VLOOKUP(B66,#REF!,2,FALSE),"")</f>
        <v/>
      </c>
    </row>
    <row r="67" spans="2:9" ht="15.75" x14ac:dyDescent="0.25">
      <c r="B67" s="22" t="s">
        <v>132</v>
      </c>
      <c r="C67" s="63">
        <f>SUM('Local dist eligible'!N67,'Local dist eligible'!Q67,'Local dist eligible'!T67)</f>
        <v>208582.43223717518</v>
      </c>
      <c r="D67" s="63" t="str">
        <f>IFERROR(VLOOKUP(B67,#REF!,9,FALSE),"")</f>
        <v/>
      </c>
      <c r="E67" s="63">
        <f>SUM('Local dist eligible'!O67,'Local dist eligible'!R67,'Local dist eligible'!U67)</f>
        <v>66596.898518587535</v>
      </c>
      <c r="F67" s="63">
        <f>SUM('Local dist eligible'!P67,'Local dist eligible'!S67,'Local dist eligible'!V67)</f>
        <v>16649.224629646884</v>
      </c>
      <c r="G67" s="63">
        <f t="shared" si="0"/>
        <v>83246.123148234416</v>
      </c>
      <c r="H67" s="63" t="str">
        <f>IFERROR(VLOOKUP(B67,#REF!,10,FALSE),"")</f>
        <v/>
      </c>
      <c r="I67" s="63" t="str">
        <f>IFERROR(VLOOKUP(B67,#REF!,2,FALSE),"")</f>
        <v/>
      </c>
    </row>
    <row r="68" spans="2:9" ht="15.75" x14ac:dyDescent="0.25">
      <c r="B68" s="22" t="s">
        <v>133</v>
      </c>
      <c r="C68" s="63">
        <f>SUM('Local dist eligible'!N68,'Local dist eligible'!Q68,'Local dist eligible'!T68)</f>
        <v>104291.2161185874</v>
      </c>
      <c r="D68" s="63" t="str">
        <f>IFERROR(VLOOKUP(B68,#REF!,9,FALSE),"")</f>
        <v/>
      </c>
      <c r="E68" s="63">
        <f>SUM('Local dist eligible'!O68,'Local dist eligible'!R68,'Local dist eligible'!U68)</f>
        <v>33298.449259293709</v>
      </c>
      <c r="F68" s="63">
        <f>SUM('Local dist eligible'!P68,'Local dist eligible'!S68,'Local dist eligible'!V68)</f>
        <v>8324.6123148234274</v>
      </c>
      <c r="G68" s="63">
        <f t="shared" si="0"/>
        <v>41623.061574117135</v>
      </c>
      <c r="H68" s="63" t="str">
        <f>IFERROR(VLOOKUP(B68,#REF!,10,FALSE),"")</f>
        <v/>
      </c>
      <c r="I68" s="63" t="str">
        <f>IFERROR(VLOOKUP(B68,#REF!,2,FALSE),"")</f>
        <v/>
      </c>
    </row>
    <row r="69" spans="2:9" ht="15.75" x14ac:dyDescent="0.25">
      <c r="B69" s="22" t="s">
        <v>134</v>
      </c>
      <c r="C69" s="63">
        <f>SUM('Local dist eligible'!N69,'Local dist eligible'!Q69,'Local dist eligible'!T69)</f>
        <v>60666.132251988762</v>
      </c>
      <c r="D69" s="63" t="str">
        <f>IFERROR(VLOOKUP(B69,#REF!,9,FALSE),"")</f>
        <v/>
      </c>
      <c r="E69" s="63">
        <f>SUM('Local dist eligible'!O69,'Local dist eligible'!R69,'Local dist eligible'!U69)</f>
        <v>19369.686170438828</v>
      </c>
      <c r="F69" s="63">
        <f>SUM('Local dist eligible'!P69,'Local dist eligible'!S69,'Local dist eligible'!V69)</f>
        <v>4842.4215426097071</v>
      </c>
      <c r="G69" s="63">
        <f t="shared" ref="G69:G132" si="1">SUM(E69,F69)</f>
        <v>24212.107713048536</v>
      </c>
      <c r="H69" s="63" t="str">
        <f>IFERROR(VLOOKUP(B69,#REF!,10,FALSE),"")</f>
        <v/>
      </c>
      <c r="I69" s="63" t="str">
        <f>IFERROR(VLOOKUP(B69,#REF!,2,FALSE),"")</f>
        <v/>
      </c>
    </row>
    <row r="70" spans="2:9" ht="15.75" x14ac:dyDescent="0.25">
      <c r="B70" s="22" t="s">
        <v>135</v>
      </c>
      <c r="C70" s="63">
        <f>SUM('Local dist eligible'!N70,'Local dist eligible'!Q70,'Local dist eligible'!T70)</f>
        <v>24539.109674961743</v>
      </c>
      <c r="D70" s="63" t="str">
        <f>IFERROR(VLOOKUP(B70,#REF!,9,FALSE),"")</f>
        <v/>
      </c>
      <c r="E70" s="63">
        <f>SUM('Local dist eligible'!O70,'Local dist eligible'!R70,'Local dist eligible'!U70)</f>
        <v>7834.9292374808729</v>
      </c>
      <c r="F70" s="63">
        <f>SUM('Local dist eligible'!P70,'Local dist eligible'!S70,'Local dist eligible'!V70)</f>
        <v>1958.7323093702182</v>
      </c>
      <c r="G70" s="63">
        <f t="shared" si="1"/>
        <v>9793.6615468510918</v>
      </c>
      <c r="H70" s="63" t="str">
        <f>IFERROR(VLOOKUP(B70,#REF!,10,FALSE),"")</f>
        <v/>
      </c>
      <c r="I70" s="63" t="str">
        <f>IFERROR(VLOOKUP(B70,#REF!,2,FALSE),"")</f>
        <v/>
      </c>
    </row>
    <row r="71" spans="2:9" ht="15.75" x14ac:dyDescent="0.25">
      <c r="B71" s="22" t="s">
        <v>136</v>
      </c>
      <c r="C71" s="63">
        <f>SUM('Local dist eligible'!N71,'Local dist eligible'!Q71,'Local dist eligible'!T71)</f>
        <v>46010.830640553271</v>
      </c>
      <c r="D71" s="63" t="str">
        <f>IFERROR(VLOOKUP(B71,#REF!,9,FALSE),"")</f>
        <v/>
      </c>
      <c r="E71" s="63">
        <f>SUM('Local dist eligible'!O71,'Local dist eligible'!R71,'Local dist eligible'!U71)</f>
        <v>14690.492320276637</v>
      </c>
      <c r="F71" s="63">
        <f>SUM('Local dist eligible'!P71,'Local dist eligible'!S71,'Local dist eligible'!V71)</f>
        <v>3672.6230800691592</v>
      </c>
      <c r="G71" s="63">
        <f t="shared" si="1"/>
        <v>18363.115400345796</v>
      </c>
      <c r="H71" s="63" t="str">
        <f>IFERROR(VLOOKUP(B71,#REF!,10,FALSE),"")</f>
        <v/>
      </c>
      <c r="I71" s="63" t="str">
        <f>IFERROR(VLOOKUP(B71,#REF!,2,FALSE),"")</f>
        <v/>
      </c>
    </row>
    <row r="72" spans="2:9" ht="15.75" x14ac:dyDescent="0.25">
      <c r="B72" s="22" t="s">
        <v>137</v>
      </c>
      <c r="C72" s="63">
        <f>SUM('Local dist eligible'!N72,'Local dist eligible'!Q72,'Local dist eligible'!T72)</f>
        <v>189496.45804553825</v>
      </c>
      <c r="D72" s="63" t="str">
        <f>IFERROR(VLOOKUP(B72,#REF!,9,FALSE),"")</f>
        <v/>
      </c>
      <c r="E72" s="63">
        <f>SUM('Local dist eligible'!O72,'Local dist eligible'!R72,'Local dist eligible'!U72)</f>
        <v>60503.064667213512</v>
      </c>
      <c r="F72" s="63">
        <f>SUM('Local dist eligible'!P72,'Local dist eligible'!S72,'Local dist eligible'!V72)</f>
        <v>15125.766166803378</v>
      </c>
      <c r="G72" s="63">
        <f t="shared" si="1"/>
        <v>75628.830834016888</v>
      </c>
      <c r="H72" s="63" t="str">
        <f>IFERROR(VLOOKUP(B72,#REF!,10,FALSE),"")</f>
        <v/>
      </c>
      <c r="I72" s="63" t="str">
        <f>IFERROR(VLOOKUP(B72,#REF!,2,FALSE),"")</f>
        <v/>
      </c>
    </row>
    <row r="73" spans="2:9" ht="15.75" x14ac:dyDescent="0.25">
      <c r="B73" s="22" t="s">
        <v>138</v>
      </c>
      <c r="C73" s="63">
        <f>SUM('Local dist eligible'!N73,'Local dist eligible'!Q73,'Local dist eligible'!T73)</f>
        <v>31696.349996825589</v>
      </c>
      <c r="D73" s="63" t="str">
        <f>IFERROR(VLOOKUP(B73,#REF!,9,FALSE),"")</f>
        <v/>
      </c>
      <c r="E73" s="63">
        <f>SUM('Local dist eligible'!O73,'Local dist eligible'!R73,'Local dist eligible'!U73)</f>
        <v>10120.116931746128</v>
      </c>
      <c r="F73" s="63">
        <f>SUM('Local dist eligible'!P73,'Local dist eligible'!S73,'Local dist eligible'!V73)</f>
        <v>2530.029232936532</v>
      </c>
      <c r="G73" s="63">
        <f t="shared" si="1"/>
        <v>12650.146164682661</v>
      </c>
      <c r="H73" s="63" t="str">
        <f>IFERROR(VLOOKUP(B73,#REF!,10,FALSE),"")</f>
        <v/>
      </c>
      <c r="I73" s="63" t="str">
        <f>IFERROR(VLOOKUP(B73,#REF!,2,FALSE),"")</f>
        <v/>
      </c>
    </row>
    <row r="74" spans="2:9" ht="15.75" x14ac:dyDescent="0.25">
      <c r="B74" s="22" t="s">
        <v>139</v>
      </c>
      <c r="C74" s="63">
        <f>SUM('Local dist eligible'!N74,'Local dist eligible'!Q74,'Local dist eligible'!T74)</f>
        <v>874887.4241059277</v>
      </c>
      <c r="D74" s="63" t="str">
        <f>IFERROR(VLOOKUP(B74,#REF!,9,FALSE),"")</f>
        <v/>
      </c>
      <c r="E74" s="63">
        <f>SUM('Local dist eligible'!O74,'Local dist eligible'!R74,'Local dist eligible'!U74)</f>
        <v>279336.99100851949</v>
      </c>
      <c r="F74" s="63">
        <f>SUM('Local dist eligible'!P74,'Local dist eligible'!S74,'Local dist eligible'!V74)</f>
        <v>69834.247752129872</v>
      </c>
      <c r="G74" s="63">
        <f t="shared" si="1"/>
        <v>349171.23876064934</v>
      </c>
      <c r="H74" s="63" t="str">
        <f>IFERROR(VLOOKUP(B74,#REF!,10,FALSE),"")</f>
        <v/>
      </c>
      <c r="I74" s="63" t="str">
        <f>IFERROR(VLOOKUP(B74,#REF!,2,FALSE),"")</f>
        <v/>
      </c>
    </row>
    <row r="75" spans="2:9" ht="15.75" x14ac:dyDescent="0.25">
      <c r="B75" s="22" t="s">
        <v>140</v>
      </c>
      <c r="C75" s="63">
        <f>SUM('Local dist eligible'!N75,'Local dist eligible'!Q75,'Local dist eligible'!T75)</f>
        <v>153028.61450080312</v>
      </c>
      <c r="D75" s="63" t="str">
        <f>IFERROR(VLOOKUP(B75,#REF!,9,FALSE),"")</f>
        <v/>
      </c>
      <c r="E75" s="63">
        <f>SUM('Local dist eligible'!O75,'Local dist eligible'!R75,'Local dist eligible'!U75)</f>
        <v>48859.489272623781</v>
      </c>
      <c r="F75" s="63">
        <f>SUM('Local dist eligible'!P75,'Local dist eligible'!S75,'Local dist eligible'!V75)</f>
        <v>12214.872318155945</v>
      </c>
      <c r="G75" s="63">
        <f t="shared" si="1"/>
        <v>61074.361590779728</v>
      </c>
      <c r="H75" s="63" t="str">
        <f>IFERROR(VLOOKUP(B75,#REF!,10,FALSE),"")</f>
        <v/>
      </c>
      <c r="I75" s="63" t="str">
        <f>IFERROR(VLOOKUP(B75,#REF!,2,FALSE),"")</f>
        <v/>
      </c>
    </row>
    <row r="76" spans="2:9" ht="15.75" x14ac:dyDescent="0.25">
      <c r="B76" s="22" t="s">
        <v>141</v>
      </c>
      <c r="C76" s="63">
        <f>SUM('Local dist eligible'!N76,'Local dist eligible'!Q76,'Local dist eligible'!T76)</f>
        <v>29992.245158286576</v>
      </c>
      <c r="D76" s="63" t="str">
        <f>IFERROR(VLOOKUP(B76,#REF!,9,FALSE),"")</f>
        <v/>
      </c>
      <c r="E76" s="63">
        <f>SUM('Local dist eligible'!O76,'Local dist eligible'!R76,'Local dist eligible'!U76)</f>
        <v>9576.024623587733</v>
      </c>
      <c r="F76" s="63">
        <f>SUM('Local dist eligible'!P76,'Local dist eligible'!S76,'Local dist eligible'!V76)</f>
        <v>2394.0061558969333</v>
      </c>
      <c r="G76" s="63">
        <f t="shared" si="1"/>
        <v>11970.030779484667</v>
      </c>
      <c r="H76" s="63" t="str">
        <f>IFERROR(VLOOKUP(B76,#REF!,10,FALSE),"")</f>
        <v/>
      </c>
      <c r="I76" s="63" t="str">
        <f>IFERROR(VLOOKUP(B76,#REF!,2,FALSE),"")</f>
        <v/>
      </c>
    </row>
    <row r="77" spans="2:9" ht="15.75" x14ac:dyDescent="0.25">
      <c r="B77" s="22" t="s">
        <v>142</v>
      </c>
      <c r="C77" s="63">
        <f>SUM('Local dist eligible'!N77,'Local dist eligible'!Q77,'Local dist eligible'!T77)</f>
        <v>278109.90964956675</v>
      </c>
      <c r="D77" s="63" t="str">
        <f>IFERROR(VLOOKUP(B77,#REF!,9,FALSE),"")</f>
        <v/>
      </c>
      <c r="E77" s="63">
        <f>SUM('Local dist eligible'!O77,'Local dist eligible'!R77,'Local dist eligible'!U77)</f>
        <v>88795.864691449999</v>
      </c>
      <c r="F77" s="63">
        <f>SUM('Local dist eligible'!P77,'Local dist eligible'!S77,'Local dist eligible'!V77)</f>
        <v>22198.9661728625</v>
      </c>
      <c r="G77" s="63">
        <f t="shared" si="1"/>
        <v>110994.83086431251</v>
      </c>
      <c r="H77" s="63" t="str">
        <f>IFERROR(VLOOKUP(B77,#REF!,10,FALSE),"")</f>
        <v/>
      </c>
      <c r="I77" s="63" t="str">
        <f>IFERROR(VLOOKUP(B77,#REF!,2,FALSE),"")</f>
        <v/>
      </c>
    </row>
    <row r="78" spans="2:9" ht="15.75" x14ac:dyDescent="0.25">
      <c r="B78" s="22" t="s">
        <v>143</v>
      </c>
      <c r="C78" s="63">
        <f>SUM('Local dist eligible'!N78,'Local dist eligible'!Q78,'Local dist eligible'!T78)</f>
        <v>55553.817736371719</v>
      </c>
      <c r="D78" s="63" t="str">
        <f>IFERROR(VLOOKUP(B78,#REF!,9,FALSE),"")</f>
        <v/>
      </c>
      <c r="E78" s="63">
        <f>SUM('Local dist eligible'!O78,'Local dist eligible'!R78,'Local dist eligible'!U78)</f>
        <v>17737.409245963641</v>
      </c>
      <c r="F78" s="63">
        <f>SUM('Local dist eligible'!P78,'Local dist eligible'!S78,'Local dist eligible'!V78)</f>
        <v>4434.3523114909103</v>
      </c>
      <c r="G78" s="63">
        <f t="shared" si="1"/>
        <v>22171.761557454553</v>
      </c>
      <c r="H78" s="63" t="str">
        <f>IFERROR(VLOOKUP(B78,#REF!,10,FALSE),"")</f>
        <v/>
      </c>
      <c r="I78" s="63" t="str">
        <f>IFERROR(VLOOKUP(B78,#REF!,2,FALSE),"")</f>
        <v/>
      </c>
    </row>
    <row r="79" spans="2:9" ht="15.75" x14ac:dyDescent="0.25">
      <c r="B79" s="22" t="s">
        <v>144</v>
      </c>
      <c r="C79" s="63">
        <f>SUM('Local dist eligible'!N79,'Local dist eligible'!Q79,'Local dist eligible'!T79)</f>
        <v>154051.07740392652</v>
      </c>
      <c r="D79" s="63" t="str">
        <f>IFERROR(VLOOKUP(B79,#REF!,9,FALSE),"")</f>
        <v/>
      </c>
      <c r="E79" s="63">
        <f>SUM('Local dist eligible'!O79,'Local dist eligible'!R79,'Local dist eligible'!U79)</f>
        <v>49185.944657518812</v>
      </c>
      <c r="F79" s="63">
        <f>SUM('Local dist eligible'!P79,'Local dist eligible'!S79,'Local dist eligible'!V79)</f>
        <v>12296.486164379703</v>
      </c>
      <c r="G79" s="63">
        <f t="shared" si="1"/>
        <v>61482.430821898517</v>
      </c>
      <c r="H79" s="63" t="str">
        <f>IFERROR(VLOOKUP(B79,#REF!,10,FALSE),"")</f>
        <v/>
      </c>
      <c r="I79" s="63" t="str">
        <f>IFERROR(VLOOKUP(B79,#REF!,2,FALSE),"")</f>
        <v/>
      </c>
    </row>
    <row r="80" spans="2:9" ht="15.75" x14ac:dyDescent="0.25">
      <c r="B80" s="22" t="s">
        <v>145</v>
      </c>
      <c r="C80" s="63">
        <f>SUM('Local dist eligible'!N80,'Local dist eligible'!Q80,'Local dist eligible'!T80)</f>
        <v>32377.991932241192</v>
      </c>
      <c r="D80" s="63" t="str">
        <f>IFERROR(VLOOKUP(B80,#REF!,9,FALSE),"")</f>
        <v/>
      </c>
      <c r="E80" s="63">
        <f>SUM('Local dist eligible'!O80,'Local dist eligible'!R80,'Local dist eligible'!U80)</f>
        <v>10337.753855009483</v>
      </c>
      <c r="F80" s="63">
        <f>SUM('Local dist eligible'!P80,'Local dist eligible'!S80,'Local dist eligible'!V80)</f>
        <v>2584.4384637523708</v>
      </c>
      <c r="G80" s="63">
        <f t="shared" si="1"/>
        <v>12922.192318761854</v>
      </c>
      <c r="H80" s="63" t="str">
        <f>IFERROR(VLOOKUP(B80,#REF!,10,FALSE),"")</f>
        <v/>
      </c>
      <c r="I80" s="63" t="str">
        <f>IFERROR(VLOOKUP(B80,#REF!,2,FALSE),"")</f>
        <v/>
      </c>
    </row>
    <row r="81" spans="2:9" ht="15.75" x14ac:dyDescent="0.25">
      <c r="B81" s="22" t="s">
        <v>146</v>
      </c>
      <c r="C81" s="63">
        <f>SUM('Local dist eligible'!N81,'Local dist eligible'!Q81,'Local dist eligible'!T81)</f>
        <v>168365.55804765419</v>
      </c>
      <c r="D81" s="63" t="str">
        <f>IFERROR(VLOOKUP(B81,#REF!,9,FALSE),"")</f>
        <v/>
      </c>
      <c r="E81" s="63">
        <f>SUM('Local dist eligible'!O81,'Local dist eligible'!R81,'Local dist eligible'!U81)</f>
        <v>53756.320046049324</v>
      </c>
      <c r="F81" s="63">
        <f>SUM('Local dist eligible'!P81,'Local dist eligible'!S81,'Local dist eligible'!V81)</f>
        <v>13439.080011512331</v>
      </c>
      <c r="G81" s="63">
        <f t="shared" si="1"/>
        <v>67195.400057561652</v>
      </c>
      <c r="H81" s="63" t="str">
        <f>IFERROR(VLOOKUP(B81,#REF!,10,FALSE),"")</f>
        <v/>
      </c>
      <c r="I81" s="63" t="str">
        <f>IFERROR(VLOOKUP(B81,#REF!,2,FALSE),"")</f>
        <v/>
      </c>
    </row>
    <row r="82" spans="2:9" ht="15.75" x14ac:dyDescent="0.25">
      <c r="B82" s="22" t="s">
        <v>147</v>
      </c>
      <c r="C82" s="63">
        <f>SUM('Local dist eligible'!N82,'Local dist eligible'!Q82,'Local dist eligible'!T82)</f>
        <v>29992.245158286576</v>
      </c>
      <c r="D82" s="63" t="str">
        <f>IFERROR(VLOOKUP(B82,#REF!,9,FALSE),"")</f>
        <v/>
      </c>
      <c r="E82" s="63">
        <f>SUM('Local dist eligible'!O82,'Local dist eligible'!R82,'Local dist eligible'!U82)</f>
        <v>9576.024623587733</v>
      </c>
      <c r="F82" s="63">
        <f>SUM('Local dist eligible'!P82,'Local dist eligible'!S82,'Local dist eligible'!V82)</f>
        <v>2394.0061558969333</v>
      </c>
      <c r="G82" s="63">
        <f t="shared" si="1"/>
        <v>11970.030779484667</v>
      </c>
      <c r="H82" s="63" t="str">
        <f>IFERROR(VLOOKUP(B82,#REF!,10,FALSE),"")</f>
        <v/>
      </c>
      <c r="I82" s="63" t="str">
        <f>IFERROR(VLOOKUP(B82,#REF!,2,FALSE),"")</f>
        <v/>
      </c>
    </row>
    <row r="83" spans="2:9" ht="15.75" x14ac:dyDescent="0.25">
      <c r="B83" s="22" t="s">
        <v>148</v>
      </c>
      <c r="C83" s="63">
        <f>SUM('Local dist eligible'!N83,'Local dist eligible'!Q83,'Local dist eligible'!T83)</f>
        <v>117242.41289148389</v>
      </c>
      <c r="D83" s="63" t="str">
        <f>IFERROR(VLOOKUP(B83,#REF!,9,FALSE),"")</f>
        <v/>
      </c>
      <c r="E83" s="63">
        <f>SUM('Local dist eligible'!O83,'Local dist eligible'!R83,'Local dist eligible'!U83)</f>
        <v>37433.550801297504</v>
      </c>
      <c r="F83" s="63">
        <f>SUM('Local dist eligible'!P83,'Local dist eligible'!S83,'Local dist eligible'!V83)</f>
        <v>9358.3877003243761</v>
      </c>
      <c r="G83" s="63">
        <f t="shared" si="1"/>
        <v>46791.93850162188</v>
      </c>
      <c r="H83" s="63" t="str">
        <f>IFERROR(VLOOKUP(B83,#REF!,10,FALSE),"")</f>
        <v/>
      </c>
      <c r="I83" s="63" t="str">
        <f>IFERROR(VLOOKUP(B83,#REF!,2,FALSE),"")</f>
        <v/>
      </c>
    </row>
    <row r="84" spans="2:9" ht="15.75" x14ac:dyDescent="0.25">
      <c r="B84" s="22" t="s">
        <v>149</v>
      </c>
      <c r="C84" s="63">
        <f>SUM('Local dist eligible'!N84,'Local dist eligible'!Q84,'Local dist eligible'!T84)</f>
        <v>36808.664512442614</v>
      </c>
      <c r="D84" s="63" t="str">
        <f>IFERROR(VLOOKUP(B84,#REF!,9,FALSE),"")</f>
        <v/>
      </c>
      <c r="E84" s="63">
        <f>SUM('Local dist eligible'!O84,'Local dist eligible'!R84,'Local dist eligible'!U84)</f>
        <v>11752.393856221308</v>
      </c>
      <c r="F84" s="63">
        <f>SUM('Local dist eligible'!P84,'Local dist eligible'!S84,'Local dist eligible'!V84)</f>
        <v>2938.098464055327</v>
      </c>
      <c r="G84" s="63">
        <f t="shared" si="1"/>
        <v>14690.492320276635</v>
      </c>
      <c r="H84" s="63" t="str">
        <f>IFERROR(VLOOKUP(B84,#REF!,10,FALSE),"")</f>
        <v/>
      </c>
      <c r="I84" s="63" t="str">
        <f>IFERROR(VLOOKUP(B84,#REF!,2,FALSE),"")</f>
        <v/>
      </c>
    </row>
    <row r="85" spans="2:9" ht="15.75" x14ac:dyDescent="0.25">
      <c r="B85" s="22" t="s">
        <v>150</v>
      </c>
      <c r="C85" s="63">
        <f>SUM('Local dist eligible'!N85,'Local dist eligible'!Q85,'Local dist eligible'!T85)</f>
        <v>410689.26608790143</v>
      </c>
      <c r="D85" s="63" t="str">
        <f>IFERROR(VLOOKUP(B85,#REF!,9,FALSE),"")</f>
        <v/>
      </c>
      <c r="E85" s="63">
        <f>SUM('Local dist eligible'!O85,'Local dist eligible'!R85,'Local dist eligible'!U85)</f>
        <v>131126.24626617297</v>
      </c>
      <c r="F85" s="63">
        <f>SUM('Local dist eligible'!P85,'Local dist eligible'!S85,'Local dist eligible'!V85)</f>
        <v>32781.561566543241</v>
      </c>
      <c r="G85" s="63">
        <f t="shared" si="1"/>
        <v>163907.80783271621</v>
      </c>
      <c r="H85" s="63" t="str">
        <f>IFERROR(VLOOKUP(B85,#REF!,10,FALSE),"")</f>
        <v/>
      </c>
      <c r="I85" s="63" t="str">
        <f>IFERROR(VLOOKUP(B85,#REF!,2,FALSE),"")</f>
        <v/>
      </c>
    </row>
    <row r="86" spans="2:9" ht="15.75" x14ac:dyDescent="0.25">
      <c r="B86" s="22" t="s">
        <v>151</v>
      </c>
      <c r="C86" s="63">
        <f>SUM('Local dist eligible'!N86,'Local dist eligible'!Q86,'Local dist eligible'!T86)</f>
        <v>50100.6822530469</v>
      </c>
      <c r="D86" s="63" t="str">
        <f>IFERROR(VLOOKUP(B86,#REF!,9,FALSE),"")</f>
        <v/>
      </c>
      <c r="E86" s="63">
        <f>SUM('Local dist eligible'!O86,'Local dist eligible'!R86,'Local dist eligible'!U86)</f>
        <v>15996.313859856784</v>
      </c>
      <c r="F86" s="63">
        <f>SUM('Local dist eligible'!P86,'Local dist eligible'!S86,'Local dist eligible'!V86)</f>
        <v>3999.078464964196</v>
      </c>
      <c r="G86" s="63">
        <f t="shared" si="1"/>
        <v>19995.392324820979</v>
      </c>
      <c r="H86" s="63" t="str">
        <f>IFERROR(VLOOKUP(B86,#REF!,10,FALSE),"")</f>
        <v/>
      </c>
      <c r="I86" s="63" t="str">
        <f>IFERROR(VLOOKUP(B86,#REF!,2,FALSE),"")</f>
        <v/>
      </c>
    </row>
    <row r="87" spans="2:9" ht="15.75" x14ac:dyDescent="0.25">
      <c r="B87" s="22" t="s">
        <v>152</v>
      </c>
      <c r="C87" s="63">
        <f>SUM('Local dist eligible'!N87,'Local dist eligible'!Q87,'Local dist eligible'!T87)</f>
        <v>53168.070962417114</v>
      </c>
      <c r="D87" s="63" t="str">
        <f>IFERROR(VLOOKUP(B87,#REF!,9,FALSE),"")</f>
        <v/>
      </c>
      <c r="E87" s="63">
        <f>SUM('Local dist eligible'!O87,'Local dist eligible'!R87,'Local dist eligible'!U87)</f>
        <v>16975.680014541893</v>
      </c>
      <c r="F87" s="63">
        <f>SUM('Local dist eligible'!P87,'Local dist eligible'!S87,'Local dist eligible'!V87)</f>
        <v>4243.9200036354732</v>
      </c>
      <c r="G87" s="63">
        <f t="shared" si="1"/>
        <v>21219.600018177367</v>
      </c>
      <c r="H87" s="63" t="str">
        <f>IFERROR(VLOOKUP(B87,#REF!,10,FALSE),"")</f>
        <v/>
      </c>
      <c r="I87" s="63" t="str">
        <f>IFERROR(VLOOKUP(B87,#REF!,2,FALSE),"")</f>
        <v/>
      </c>
    </row>
    <row r="88" spans="2:9" ht="15.75" x14ac:dyDescent="0.25">
      <c r="B88" s="22" t="s">
        <v>153</v>
      </c>
      <c r="C88" s="63">
        <f>SUM('Local dist eligible'!N88,'Local dist eligible'!Q88,'Local dist eligible'!T88)</f>
        <v>697660.52089787077</v>
      </c>
      <c r="D88" s="63" t="str">
        <f>IFERROR(VLOOKUP(B88,#REF!,9,FALSE),"")</f>
        <v/>
      </c>
      <c r="E88" s="63">
        <f>SUM('Local dist eligible'!O88,'Local dist eligible'!R88,'Local dist eligible'!U88)</f>
        <v>222751.3909600465</v>
      </c>
      <c r="F88" s="63">
        <f>SUM('Local dist eligible'!P88,'Local dist eligible'!S88,'Local dist eligible'!V88)</f>
        <v>55687.847740011624</v>
      </c>
      <c r="G88" s="63">
        <f t="shared" si="1"/>
        <v>278439.23870005814</v>
      </c>
      <c r="H88" s="63" t="str">
        <f>IFERROR(VLOOKUP(B88,#REF!,10,FALSE),"")</f>
        <v/>
      </c>
      <c r="I88" s="63" t="str">
        <f>IFERROR(VLOOKUP(B88,#REF!,2,FALSE),"")</f>
        <v/>
      </c>
    </row>
    <row r="89" spans="2:9" ht="15.75" x14ac:dyDescent="0.25">
      <c r="B89" s="22" t="s">
        <v>154</v>
      </c>
      <c r="C89" s="63">
        <f>SUM('Local dist eligible'!N89,'Local dist eligible'!Q89,'Local dist eligible'!T89)</f>
        <v>1154701.438594033</v>
      </c>
      <c r="D89" s="63" t="str">
        <f>IFERROR(VLOOKUP(B89,#REF!,9,FALSE),"")</f>
        <v/>
      </c>
      <c r="E89" s="63">
        <f>SUM('Local dist eligible'!O89,'Local dist eligible'!R89,'Local dist eligible'!U89)</f>
        <v>368676.94800812769</v>
      </c>
      <c r="F89" s="63">
        <f>SUM('Local dist eligible'!P89,'Local dist eligible'!S89,'Local dist eligible'!V89)</f>
        <v>92169.237002031921</v>
      </c>
      <c r="G89" s="63">
        <f t="shared" si="1"/>
        <v>460846.18501015962</v>
      </c>
      <c r="H89" s="63" t="str">
        <f>IFERROR(VLOOKUP(B89,#REF!,10,FALSE),"")</f>
        <v/>
      </c>
      <c r="I89" s="63" t="str">
        <f>IFERROR(VLOOKUP(B89,#REF!,2,FALSE),"")</f>
        <v/>
      </c>
    </row>
    <row r="90" spans="2:9" ht="15.75" x14ac:dyDescent="0.25">
      <c r="B90" s="22" t="s">
        <v>155</v>
      </c>
      <c r="C90" s="63">
        <f>SUM('Local dist eligible'!N90,'Local dist eligible'!Q90,'Local dist eligible'!T90)</f>
        <v>41580.158060351845</v>
      </c>
      <c r="D90" s="63" t="str">
        <f>IFERROR(VLOOKUP(B90,#REF!,9,FALSE),"")</f>
        <v/>
      </c>
      <c r="E90" s="63">
        <f>SUM('Local dist eligible'!O90,'Local dist eligible'!R90,'Local dist eligible'!U90)</f>
        <v>13275.852319064814</v>
      </c>
      <c r="F90" s="63">
        <f>SUM('Local dist eligible'!P90,'Local dist eligible'!S90,'Local dist eligible'!V90)</f>
        <v>3318.9630797662035</v>
      </c>
      <c r="G90" s="63">
        <f t="shared" si="1"/>
        <v>16594.815398831019</v>
      </c>
      <c r="H90" s="63" t="str">
        <f>IFERROR(VLOOKUP(B90,#REF!,10,FALSE),"")</f>
        <v/>
      </c>
      <c r="I90" s="63" t="str">
        <f>IFERROR(VLOOKUP(B90,#REF!,2,FALSE),"")</f>
        <v/>
      </c>
    </row>
    <row r="91" spans="2:9" ht="15.75" x14ac:dyDescent="0.25">
      <c r="B91" s="22" t="s">
        <v>156</v>
      </c>
      <c r="C91" s="63">
        <f>SUM('Local dist eligible'!N91,'Local dist eligible'!Q91,'Local dist eligible'!T91)</f>
        <v>43965.904834306457</v>
      </c>
      <c r="D91" s="63" t="str">
        <f>IFERROR(VLOOKUP(B91,#REF!,9,FALSE),"")</f>
        <v/>
      </c>
      <c r="E91" s="63">
        <f>SUM('Local dist eligible'!O91,'Local dist eligible'!R91,'Local dist eligible'!U91)</f>
        <v>14037.581550486564</v>
      </c>
      <c r="F91" s="63">
        <f>SUM('Local dist eligible'!P91,'Local dist eligible'!S91,'Local dist eligible'!V91)</f>
        <v>3509.395387621641</v>
      </c>
      <c r="G91" s="63">
        <f t="shared" si="1"/>
        <v>17546.976938108204</v>
      </c>
      <c r="H91" s="63" t="str">
        <f>IFERROR(VLOOKUP(B91,#REF!,10,FALSE),"")</f>
        <v/>
      </c>
      <c r="I91" s="63" t="str">
        <f>IFERROR(VLOOKUP(B91,#REF!,2,FALSE),"")</f>
        <v/>
      </c>
    </row>
    <row r="92" spans="2:9" ht="15.75" x14ac:dyDescent="0.25">
      <c r="B92" s="22" t="s">
        <v>157</v>
      </c>
      <c r="C92" s="63">
        <f>SUM('Local dist eligible'!N92,'Local dist eligible'!Q92,'Local dist eligible'!T92)</f>
        <v>37490.306447858224</v>
      </c>
      <c r="D92" s="63" t="str">
        <f>IFERROR(VLOOKUP(B92,#REF!,9,FALSE),"")</f>
        <v/>
      </c>
      <c r="E92" s="63">
        <f>SUM('Local dist eligible'!O92,'Local dist eligible'!R92,'Local dist eligible'!U92)</f>
        <v>11970.030779484667</v>
      </c>
      <c r="F92" s="63">
        <f>SUM('Local dist eligible'!P92,'Local dist eligible'!S92,'Local dist eligible'!V92)</f>
        <v>2992.5076948711667</v>
      </c>
      <c r="G92" s="63">
        <f t="shared" si="1"/>
        <v>14962.538474355833</v>
      </c>
      <c r="H92" s="63" t="str">
        <f>IFERROR(VLOOKUP(B92,#REF!,10,FALSE),"")</f>
        <v/>
      </c>
      <c r="I92" s="63" t="str">
        <f>IFERROR(VLOOKUP(B92,#REF!,2,FALSE),"")</f>
        <v/>
      </c>
    </row>
    <row r="93" spans="2:9" ht="15.75" x14ac:dyDescent="0.25">
      <c r="B93" s="22" t="s">
        <v>158</v>
      </c>
      <c r="C93" s="63">
        <f>SUM('Local dist eligible'!N93,'Local dist eligible'!Q93,'Local dist eligible'!T93)</f>
        <v>45329.188705137669</v>
      </c>
      <c r="D93" s="63" t="str">
        <f>IFERROR(VLOOKUP(B93,#REF!,9,FALSE),"")</f>
        <v/>
      </c>
      <c r="E93" s="63">
        <f>SUM('Local dist eligible'!O93,'Local dist eligible'!R93,'Local dist eligible'!U93)</f>
        <v>14472.855397013278</v>
      </c>
      <c r="F93" s="63">
        <f>SUM('Local dist eligible'!P93,'Local dist eligible'!S93,'Local dist eligible'!V93)</f>
        <v>3618.2138492533195</v>
      </c>
      <c r="G93" s="63">
        <f t="shared" si="1"/>
        <v>18091.069246266597</v>
      </c>
      <c r="H93" s="63" t="str">
        <f>IFERROR(VLOOKUP(B93,#REF!,10,FALSE),"")</f>
        <v/>
      </c>
      <c r="I93" s="63" t="str">
        <f>IFERROR(VLOOKUP(B93,#REF!,2,FALSE),"")</f>
        <v/>
      </c>
    </row>
    <row r="94" spans="2:9" ht="15.75" x14ac:dyDescent="0.25">
      <c r="B94" s="22" t="s">
        <v>159</v>
      </c>
      <c r="C94" s="63">
        <f>SUM('Local dist eligible'!N94,'Local dist eligible'!Q94,'Local dist eligible'!T94)</f>
        <v>217443.777397578</v>
      </c>
      <c r="D94" s="63" t="str">
        <f>IFERROR(VLOOKUP(B94,#REF!,9,FALSE),"")</f>
        <v/>
      </c>
      <c r="E94" s="63">
        <f>SUM('Local dist eligible'!O94,'Local dist eligible'!R94,'Local dist eligible'!U94)</f>
        <v>69426.178521011185</v>
      </c>
      <c r="F94" s="63">
        <f>SUM('Local dist eligible'!P94,'Local dist eligible'!S94,'Local dist eligible'!V94)</f>
        <v>17356.544630252796</v>
      </c>
      <c r="G94" s="63">
        <f t="shared" si="1"/>
        <v>86782.723151263985</v>
      </c>
      <c r="H94" s="63" t="str">
        <f>IFERROR(VLOOKUP(B94,#REF!,10,FALSE),"")</f>
        <v/>
      </c>
      <c r="I94" s="63" t="str">
        <f>IFERROR(VLOOKUP(B94,#REF!,2,FALSE),"")</f>
        <v/>
      </c>
    </row>
    <row r="95" spans="2:9" ht="15.75" x14ac:dyDescent="0.25">
      <c r="B95" s="22" t="s">
        <v>160</v>
      </c>
      <c r="C95" s="63">
        <f>SUM('Local dist eligible'!N95,'Local dist eligible'!Q95,'Local dist eligible'!T95)</f>
        <v>139736.59676019882</v>
      </c>
      <c r="D95" s="63" t="str">
        <f>IFERROR(VLOOKUP(B95,#REF!,9,FALSE),"")</f>
        <v/>
      </c>
      <c r="E95" s="63">
        <f>SUM('Local dist eligible'!O95,'Local dist eligible'!R95,'Local dist eligible'!U95)</f>
        <v>44615.5692689883</v>
      </c>
      <c r="F95" s="63">
        <f>SUM('Local dist eligible'!P95,'Local dist eligible'!S95,'Local dist eligible'!V95)</f>
        <v>11153.892317247075</v>
      </c>
      <c r="G95" s="63">
        <f t="shared" si="1"/>
        <v>55769.461586235375</v>
      </c>
      <c r="H95" s="63" t="str">
        <f>IFERROR(VLOOKUP(B95,#REF!,10,FALSE),"")</f>
        <v/>
      </c>
      <c r="I95" s="63" t="str">
        <f>IFERROR(VLOOKUP(B95,#REF!,2,FALSE),"")</f>
        <v/>
      </c>
    </row>
    <row r="96" spans="2:9" ht="15.75" x14ac:dyDescent="0.25">
      <c r="B96" s="22" t="s">
        <v>161</v>
      </c>
      <c r="C96" s="63">
        <f>SUM('Local dist eligible'!N96,'Local dist eligible'!Q96,'Local dist eligible'!T96)</f>
        <v>112130.09837586686</v>
      </c>
      <c r="D96" s="63" t="str">
        <f>IFERROR(VLOOKUP(B96,#REF!,9,FALSE),"")</f>
        <v/>
      </c>
      <c r="E96" s="63">
        <f>SUM('Local dist eligible'!O96,'Local dist eligible'!R96,'Local dist eligible'!U96)</f>
        <v>35801.273876822328</v>
      </c>
      <c r="F96" s="63">
        <f>SUM('Local dist eligible'!P96,'Local dist eligible'!S96,'Local dist eligible'!V96)</f>
        <v>8950.318469205582</v>
      </c>
      <c r="G96" s="63">
        <f t="shared" si="1"/>
        <v>44751.592346027908</v>
      </c>
      <c r="H96" s="63" t="str">
        <f>IFERROR(VLOOKUP(B96,#REF!,10,FALSE),"")</f>
        <v/>
      </c>
      <c r="I96" s="63" t="str">
        <f>IFERROR(VLOOKUP(B96,#REF!,2,FALSE),"")</f>
        <v/>
      </c>
    </row>
    <row r="97" spans="2:9" ht="15.75" x14ac:dyDescent="0.25">
      <c r="B97" s="22" t="s">
        <v>162</v>
      </c>
      <c r="C97" s="63">
        <f>SUM('Local dist eligible'!N97,'Local dist eligible'!Q97,'Local dist eligible'!T97)</f>
        <v>134624.28224458182</v>
      </c>
      <c r="D97" s="63" t="str">
        <f>IFERROR(VLOOKUP(B97,#REF!,9,FALSE),"")</f>
        <v/>
      </c>
      <c r="E97" s="63">
        <f>SUM('Local dist eligible'!O97,'Local dist eligible'!R97,'Local dist eligible'!U97)</f>
        <v>42983.292344513131</v>
      </c>
      <c r="F97" s="63">
        <f>SUM('Local dist eligible'!P97,'Local dist eligible'!S97,'Local dist eligible'!V97)</f>
        <v>10745.823086128283</v>
      </c>
      <c r="G97" s="63">
        <f t="shared" si="1"/>
        <v>53729.11543064141</v>
      </c>
      <c r="H97" s="63" t="str">
        <f>IFERROR(VLOOKUP(B97,#REF!,10,FALSE),"")</f>
        <v/>
      </c>
      <c r="I97" s="63" t="str">
        <f>IFERROR(VLOOKUP(B97,#REF!,2,FALSE),"")</f>
        <v/>
      </c>
    </row>
    <row r="98" spans="2:9" ht="15.75" x14ac:dyDescent="0.25">
      <c r="B98" s="22" t="s">
        <v>163</v>
      </c>
      <c r="C98" s="63">
        <f>SUM('Local dist eligible'!N98,'Local dist eligible'!Q98,'Local dist eligible'!T98)</f>
        <v>255615.72578085185</v>
      </c>
      <c r="D98" s="63" t="str">
        <f>IFERROR(VLOOKUP(B98,#REF!,9,FALSE),"")</f>
        <v/>
      </c>
      <c r="E98" s="63">
        <f>SUM('Local dist eligible'!O98,'Local dist eligible'!R98,'Local dist eligible'!U98)</f>
        <v>81613.846223759203</v>
      </c>
      <c r="F98" s="63">
        <f>SUM('Local dist eligible'!P98,'Local dist eligible'!S98,'Local dist eligible'!V98)</f>
        <v>20403.461555939801</v>
      </c>
      <c r="G98" s="63">
        <f t="shared" si="1"/>
        <v>102017.30777969901</v>
      </c>
      <c r="H98" s="63" t="str">
        <f>IFERROR(VLOOKUP(B98,#REF!,10,FALSE),"")</f>
        <v/>
      </c>
      <c r="I98" s="63" t="str">
        <f>IFERROR(VLOOKUP(B98,#REF!,2,FALSE),"")</f>
        <v/>
      </c>
    </row>
    <row r="99" spans="2:9" ht="15.75" x14ac:dyDescent="0.25">
      <c r="B99" s="22" t="s">
        <v>164</v>
      </c>
      <c r="C99" s="63">
        <f>SUM('Local dist eligible'!N99,'Local dist eligible'!Q99,'Local dist eligible'!T99)</f>
        <v>63392.699993651178</v>
      </c>
      <c r="D99" s="63" t="str">
        <f>IFERROR(VLOOKUP(B99,#REF!,9,FALSE),"")</f>
        <v/>
      </c>
      <c r="E99" s="63">
        <f>SUM('Local dist eligible'!O99,'Local dist eligible'!R99,'Local dist eligible'!U99)</f>
        <v>20240.233863492256</v>
      </c>
      <c r="F99" s="63">
        <f>SUM('Local dist eligible'!P99,'Local dist eligible'!S99,'Local dist eligible'!V99)</f>
        <v>5060.0584658730641</v>
      </c>
      <c r="G99" s="63">
        <f t="shared" si="1"/>
        <v>25300.292329365322</v>
      </c>
      <c r="H99" s="63" t="str">
        <f>IFERROR(VLOOKUP(B99,#REF!,10,FALSE),"")</f>
        <v/>
      </c>
      <c r="I99" s="63" t="str">
        <f>IFERROR(VLOOKUP(B99,#REF!,2,FALSE),"")</f>
        <v/>
      </c>
    </row>
    <row r="100" spans="2:9" ht="15.75" x14ac:dyDescent="0.25">
      <c r="B100" s="22" t="s">
        <v>165</v>
      </c>
      <c r="C100" s="63">
        <f>SUM('Local dist eligible'!N100,'Local dist eligible'!Q100,'Local dist eligible'!T100)</f>
        <v>660170.21445001243</v>
      </c>
      <c r="D100" s="63" t="str">
        <f>IFERROR(VLOOKUP(B100,#REF!,9,FALSE),"")</f>
        <v/>
      </c>
      <c r="E100" s="63">
        <f>SUM('Local dist eligible'!O100,'Local dist eligible'!R100,'Local dist eligible'!U100)</f>
        <v>210781.36018056181</v>
      </c>
      <c r="F100" s="63">
        <f>SUM('Local dist eligible'!P100,'Local dist eligible'!S100,'Local dist eligible'!V100)</f>
        <v>52695.340045140452</v>
      </c>
      <c r="G100" s="63">
        <f t="shared" si="1"/>
        <v>263476.70022570225</v>
      </c>
      <c r="H100" s="63" t="str">
        <f>IFERROR(VLOOKUP(B100,#REF!,10,FALSE),"")</f>
        <v/>
      </c>
      <c r="I100" s="63" t="str">
        <f>IFERROR(VLOOKUP(B100,#REF!,2,FALSE),"")</f>
        <v/>
      </c>
    </row>
    <row r="101" spans="2:9" ht="15.75" x14ac:dyDescent="0.25">
      <c r="B101" s="22" t="s">
        <v>166</v>
      </c>
      <c r="C101" s="63">
        <f>SUM('Local dist eligible'!N101,'Local dist eligible'!Q101,'Local dist eligible'!T101)</f>
        <v>89295.093539444119</v>
      </c>
      <c r="D101" s="63" t="str">
        <f>IFERROR(VLOOKUP(B101,#REF!,9,FALSE),"")</f>
        <v/>
      </c>
      <c r="E101" s="63">
        <f>SUM('Local dist eligible'!O101,'Local dist eligible'!R101,'Local dist eligible'!U101)</f>
        <v>28510.436947499842</v>
      </c>
      <c r="F101" s="63">
        <f>SUM('Local dist eligible'!P101,'Local dist eligible'!S101,'Local dist eligible'!V101)</f>
        <v>7127.6092368749605</v>
      </c>
      <c r="G101" s="63">
        <f t="shared" si="1"/>
        <v>35638.046184374805</v>
      </c>
      <c r="H101" s="63" t="str">
        <f>IFERROR(VLOOKUP(B101,#REF!,10,FALSE),"")</f>
        <v/>
      </c>
      <c r="I101" s="63" t="str">
        <f>IFERROR(VLOOKUP(B101,#REF!,2,FALSE),"")</f>
        <v/>
      </c>
    </row>
    <row r="102" spans="2:9" ht="15.75" x14ac:dyDescent="0.25">
      <c r="B102" s="22" t="s">
        <v>167</v>
      </c>
      <c r="C102" s="63">
        <f>SUM('Local dist eligible'!N102,'Local dist eligible'!Q102,'Local dist eligible'!T102)</f>
        <v>64755.983864482383</v>
      </c>
      <c r="D102" s="63" t="str">
        <f>IFERROR(VLOOKUP(B102,#REF!,9,FALSE),"")</f>
        <v/>
      </c>
      <c r="E102" s="63">
        <f>SUM('Local dist eligible'!O102,'Local dist eligible'!R102,'Local dist eligible'!U102)</f>
        <v>20675.507710018966</v>
      </c>
      <c r="F102" s="63">
        <f>SUM('Local dist eligible'!P102,'Local dist eligible'!S102,'Local dist eligible'!V102)</f>
        <v>5168.8769275047416</v>
      </c>
      <c r="G102" s="63">
        <f t="shared" si="1"/>
        <v>25844.384637523708</v>
      </c>
      <c r="H102" s="63" t="str">
        <f>IFERROR(VLOOKUP(B102,#REF!,10,FALSE),"")</f>
        <v/>
      </c>
      <c r="I102" s="63" t="str">
        <f>IFERROR(VLOOKUP(B102,#REF!,2,FALSE),"")</f>
        <v/>
      </c>
    </row>
    <row r="103" spans="2:9" ht="15.75" x14ac:dyDescent="0.25">
      <c r="B103" s="22" t="s">
        <v>168</v>
      </c>
      <c r="C103" s="63">
        <f>SUM('Local dist eligible'!N103,'Local dist eligible'!Q103,'Local dist eligible'!T103)</f>
        <v>119628.15966543849</v>
      </c>
      <c r="D103" s="63" t="str">
        <f>IFERROR(VLOOKUP(B103,#REF!,9,FALSE),"")</f>
        <v/>
      </c>
      <c r="E103" s="63">
        <f>SUM('Local dist eligible'!O103,'Local dist eligible'!R103,'Local dist eligible'!U103)</f>
        <v>38195.280032719253</v>
      </c>
      <c r="F103" s="63">
        <f>SUM('Local dist eligible'!P103,'Local dist eligible'!S103,'Local dist eligible'!V103)</f>
        <v>9548.8200081798132</v>
      </c>
      <c r="G103" s="63">
        <f t="shared" si="1"/>
        <v>47744.100040899066</v>
      </c>
      <c r="H103" s="63" t="str">
        <f>IFERROR(VLOOKUP(B103,#REF!,10,FALSE),"")</f>
        <v/>
      </c>
      <c r="I103" s="63" t="str">
        <f>IFERROR(VLOOKUP(B103,#REF!,2,FALSE),"")</f>
        <v/>
      </c>
    </row>
    <row r="104" spans="2:9" ht="15.75" x14ac:dyDescent="0.25">
      <c r="B104" s="22" t="s">
        <v>169</v>
      </c>
      <c r="C104" s="63">
        <f>SUM('Local dist eligible'!N104,'Local dist eligible'!Q104,'Local dist eligible'!T104)</f>
        <v>1211959.3611689438</v>
      </c>
      <c r="D104" s="63" t="str">
        <f>IFERROR(VLOOKUP(B104,#REF!,9,FALSE),"")</f>
        <v/>
      </c>
      <c r="E104" s="63">
        <f>SUM('Local dist eligible'!O104,'Local dist eligible'!R104,'Local dist eligible'!U104)</f>
        <v>386958.44956224976</v>
      </c>
      <c r="F104" s="63">
        <f>SUM('Local dist eligible'!P104,'Local dist eligible'!S104,'Local dist eligible'!V104)</f>
        <v>96739.612390562441</v>
      </c>
      <c r="G104" s="63">
        <f t="shared" si="1"/>
        <v>483698.06195281219</v>
      </c>
      <c r="H104" s="63" t="str">
        <f>IFERROR(VLOOKUP(B104,#REF!,10,FALSE),"")</f>
        <v/>
      </c>
      <c r="I104" s="63" t="str">
        <f>IFERROR(VLOOKUP(B104,#REF!,2,FALSE),"")</f>
        <v/>
      </c>
    </row>
    <row r="105" spans="2:9" ht="15.75" x14ac:dyDescent="0.25">
      <c r="B105" s="22" t="s">
        <v>170</v>
      </c>
      <c r="C105" s="63">
        <f>SUM('Local dist eligible'!N105,'Local dist eligible'!Q105,'Local dist eligible'!T105)</f>
        <v>361611.04673797789</v>
      </c>
      <c r="D105" s="63" t="str">
        <f>IFERROR(VLOOKUP(B105,#REF!,9,FALSE),"")</f>
        <v/>
      </c>
      <c r="E105" s="63">
        <f>SUM('Local dist eligible'!O105,'Local dist eligible'!R105,'Local dist eligible'!U105)</f>
        <v>115456.38779121119</v>
      </c>
      <c r="F105" s="63">
        <f>SUM('Local dist eligible'!P105,'Local dist eligible'!S105,'Local dist eligible'!V105)</f>
        <v>28864.096947802798</v>
      </c>
      <c r="G105" s="63">
        <f t="shared" si="1"/>
        <v>144320.48473901401</v>
      </c>
      <c r="H105" s="63" t="str">
        <f>IFERROR(VLOOKUP(B105,#REF!,10,FALSE),"")</f>
        <v/>
      </c>
      <c r="I105" s="63" t="str">
        <f>IFERROR(VLOOKUP(B105,#REF!,2,FALSE),"")</f>
        <v/>
      </c>
    </row>
    <row r="106" spans="2:9" ht="15.75" x14ac:dyDescent="0.25">
      <c r="B106" s="22" t="s">
        <v>171</v>
      </c>
      <c r="C106" s="63">
        <f>SUM('Local dist eligible'!N106,'Local dist eligible'!Q106,'Local dist eligible'!T106)</f>
        <v>84182.779023827097</v>
      </c>
      <c r="D106" s="63" t="str">
        <f>IFERROR(VLOOKUP(B106,#REF!,9,FALSE),"")</f>
        <v/>
      </c>
      <c r="E106" s="63">
        <f>SUM('Local dist eligible'!O106,'Local dist eligible'!R106,'Local dist eligible'!U106)</f>
        <v>26878.160023024662</v>
      </c>
      <c r="F106" s="63">
        <f>SUM('Local dist eligible'!P106,'Local dist eligible'!S106,'Local dist eligible'!V106)</f>
        <v>6719.5400057561656</v>
      </c>
      <c r="G106" s="63">
        <f t="shared" si="1"/>
        <v>33597.700028780826</v>
      </c>
      <c r="H106" s="63" t="str">
        <f>IFERROR(VLOOKUP(B106,#REF!,10,FALSE),"")</f>
        <v/>
      </c>
      <c r="I106" s="63" t="str">
        <f>IFERROR(VLOOKUP(B106,#REF!,2,FALSE),"")</f>
        <v/>
      </c>
    </row>
    <row r="107" spans="2:9" ht="15.75" x14ac:dyDescent="0.25">
      <c r="B107" s="22" t="s">
        <v>172</v>
      </c>
      <c r="C107" s="63">
        <f>SUM('Local dist eligible'!N107,'Local dist eligible'!Q107,'Local dist eligible'!T107)</f>
        <v>31014.708061409983</v>
      </c>
      <c r="D107" s="63" t="str">
        <f>IFERROR(VLOOKUP(B107,#REF!,9,FALSE),"")</f>
        <v/>
      </c>
      <c r="E107" s="63">
        <f>SUM('Local dist eligible'!O107,'Local dist eligible'!R107,'Local dist eligible'!U107)</f>
        <v>9902.4800084827693</v>
      </c>
      <c r="F107" s="63">
        <f>SUM('Local dist eligible'!P107,'Local dist eligible'!S107,'Local dist eligible'!V107)</f>
        <v>2475.6200021206923</v>
      </c>
      <c r="G107" s="63">
        <f t="shared" si="1"/>
        <v>12378.100010603463</v>
      </c>
      <c r="H107" s="63" t="str">
        <f>IFERROR(VLOOKUP(B107,#REF!,10,FALSE),"")</f>
        <v/>
      </c>
      <c r="I107" s="63" t="str">
        <f>IFERROR(VLOOKUP(B107,#REF!,2,FALSE),"")</f>
        <v/>
      </c>
    </row>
    <row r="108" spans="2:9" ht="15.75" x14ac:dyDescent="0.25">
      <c r="B108" s="22" t="s">
        <v>174</v>
      </c>
      <c r="C108" s="63">
        <f>SUM('Local dist eligible'!N108,'Local dist eligible'!Q108,'Local dist eligible'!T108)</f>
        <v>28628.961287455371</v>
      </c>
      <c r="D108" s="63" t="str">
        <f>IFERROR(VLOOKUP(B108,#REF!,9,FALSE),"")</f>
        <v/>
      </c>
      <c r="E108" s="63">
        <f>SUM('Local dist eligible'!O108,'Local dist eligible'!R108,'Local dist eligible'!U108)</f>
        <v>9140.7507770610191</v>
      </c>
      <c r="F108" s="63">
        <f>SUM('Local dist eligible'!P108,'Local dist eligible'!S108,'Local dist eligible'!V108)</f>
        <v>2285.1876942652548</v>
      </c>
      <c r="G108" s="63">
        <f t="shared" si="1"/>
        <v>11425.938471326273</v>
      </c>
      <c r="H108" s="63" t="str">
        <f>IFERROR(VLOOKUP(B108,#REF!,10,FALSE),"")</f>
        <v/>
      </c>
      <c r="I108" s="63" t="str">
        <f>IFERROR(VLOOKUP(B108,#REF!,2,FALSE),"")</f>
        <v/>
      </c>
    </row>
    <row r="109" spans="2:9" ht="15.75" x14ac:dyDescent="0.25">
      <c r="B109" s="22" t="s">
        <v>173</v>
      </c>
      <c r="C109" s="63">
        <f>SUM('Local dist eligible'!N109,'Local dist eligible'!Q109,'Local dist eligible'!T109)</f>
        <v>1439968.5885654632</v>
      </c>
      <c r="D109" s="63" t="str">
        <f>IFERROR(VLOOKUP(B109,#REF!,9,FALSE),"")</f>
        <v/>
      </c>
      <c r="E109" s="63">
        <f>SUM('Local dist eligible'!O109,'Local dist eligible'!R109,'Local dist eligible'!U109)</f>
        <v>459758.00039384287</v>
      </c>
      <c r="F109" s="63">
        <f>SUM('Local dist eligible'!P109,'Local dist eligible'!S109,'Local dist eligible'!V109)</f>
        <v>114939.50009846072</v>
      </c>
      <c r="G109" s="63">
        <f t="shared" si="1"/>
        <v>574697.50049230363</v>
      </c>
      <c r="H109" s="63" t="str">
        <f>IFERROR(VLOOKUP(B109,#REF!,10,FALSE),"")</f>
        <v/>
      </c>
      <c r="I109" s="63" t="str">
        <f>IFERROR(VLOOKUP(B109,#REF!,2,FALSE),"")</f>
        <v/>
      </c>
    </row>
    <row r="110" spans="2:9" ht="15.75" x14ac:dyDescent="0.25">
      <c r="B110" s="22" t="s">
        <v>175</v>
      </c>
      <c r="C110" s="63">
        <f>SUM('Local dist eligible'!N110,'Local dist eligible'!Q110,'Local dist eligible'!T110)</f>
        <v>510549.80962628737</v>
      </c>
      <c r="D110" s="63" t="str">
        <f>IFERROR(VLOOKUP(B110,#REF!,9,FALSE),"")</f>
        <v/>
      </c>
      <c r="E110" s="63">
        <f>SUM('Local dist eligible'!O110,'Local dist eligible'!R110,'Local dist eligible'!U110)</f>
        <v>163010.05552425483</v>
      </c>
      <c r="F110" s="63">
        <f>SUM('Local dist eligible'!P110,'Local dist eligible'!S110,'Local dist eligible'!V110)</f>
        <v>40752.513881063707</v>
      </c>
      <c r="G110" s="63">
        <f t="shared" si="1"/>
        <v>203762.56940531853</v>
      </c>
      <c r="H110" s="63" t="str">
        <f>IFERROR(VLOOKUP(B110,#REF!,10,FALSE),"")</f>
        <v/>
      </c>
      <c r="I110" s="63" t="str">
        <f>IFERROR(VLOOKUP(B110,#REF!,2,FALSE),"")</f>
        <v/>
      </c>
    </row>
    <row r="111" spans="2:9" ht="15.75" x14ac:dyDescent="0.25">
      <c r="B111" s="22" t="s">
        <v>176</v>
      </c>
      <c r="C111" s="63">
        <f>SUM('Local dist eligible'!N111,'Local dist eligible'!Q111,'Local dist eligible'!T111)</f>
        <v>633586.17896880396</v>
      </c>
      <c r="D111" s="63" t="str">
        <f>IFERROR(VLOOKUP(B111,#REF!,9,FALSE),"")</f>
        <v/>
      </c>
      <c r="E111" s="63">
        <f>SUM('Local dist eligible'!O111,'Local dist eligible'!R111,'Local dist eligible'!U111)</f>
        <v>202293.52017329086</v>
      </c>
      <c r="F111" s="63">
        <f>SUM('Local dist eligible'!P111,'Local dist eligible'!S111,'Local dist eligible'!V111)</f>
        <v>50573.380043322715</v>
      </c>
      <c r="G111" s="63">
        <f t="shared" si="1"/>
        <v>252866.90021661358</v>
      </c>
      <c r="H111" s="63" t="str">
        <f>IFERROR(VLOOKUP(B111,#REF!,10,FALSE),"")</f>
        <v/>
      </c>
      <c r="I111" s="63" t="str">
        <f>IFERROR(VLOOKUP(B111,#REF!,2,FALSE),"")</f>
        <v/>
      </c>
    </row>
    <row r="112" spans="2:9" ht="15.75" x14ac:dyDescent="0.25">
      <c r="B112" s="22" t="s">
        <v>177</v>
      </c>
      <c r="C112" s="63">
        <f>SUM('Local dist eligible'!N112,'Local dist eligible'!Q112,'Local dist eligible'!T112)</f>
        <v>80092.927411333454</v>
      </c>
      <c r="D112" s="63" t="str">
        <f>IFERROR(VLOOKUP(B112,#REF!,9,FALSE),"")</f>
        <v/>
      </c>
      <c r="E112" s="63">
        <f>SUM('Local dist eligible'!O112,'Local dist eligible'!R112,'Local dist eligible'!U112)</f>
        <v>25572.338483444513</v>
      </c>
      <c r="F112" s="63">
        <f>SUM('Local dist eligible'!P112,'Local dist eligible'!S112,'Local dist eligible'!V112)</f>
        <v>6393.0846208611283</v>
      </c>
      <c r="G112" s="63">
        <f t="shared" si="1"/>
        <v>31965.423104305642</v>
      </c>
      <c r="H112" s="63" t="str">
        <f>IFERROR(VLOOKUP(B112,#REF!,10,FALSE),"")</f>
        <v/>
      </c>
      <c r="I112" s="63" t="str">
        <f>IFERROR(VLOOKUP(B112,#REF!,2,FALSE),"")</f>
        <v/>
      </c>
    </row>
    <row r="113" spans="2:9" ht="15.75" x14ac:dyDescent="0.25">
      <c r="B113" s="22" t="s">
        <v>178</v>
      </c>
      <c r="C113" s="63">
        <f>SUM('Local dist eligible'!N113,'Local dist eligible'!Q113,'Local dist eligible'!T113)</f>
        <v>209264.0741725908</v>
      </c>
      <c r="D113" s="63" t="str">
        <f>IFERROR(VLOOKUP(B113,#REF!,9,FALSE),"")</f>
        <v/>
      </c>
      <c r="E113" s="63">
        <f>SUM('Local dist eligible'!O113,'Local dist eligible'!R113,'Local dist eligible'!U113)</f>
        <v>66814.535441850894</v>
      </c>
      <c r="F113" s="63">
        <f>SUM('Local dist eligible'!P113,'Local dist eligible'!S113,'Local dist eligible'!V113)</f>
        <v>16703.633860462724</v>
      </c>
      <c r="G113" s="63">
        <f t="shared" si="1"/>
        <v>83518.169302313618</v>
      </c>
      <c r="H113" s="63" t="str">
        <f>IFERROR(VLOOKUP(B113,#REF!,10,FALSE),"")</f>
        <v/>
      </c>
      <c r="I113" s="63" t="str">
        <f>IFERROR(VLOOKUP(B113,#REF!,2,FALSE),"")</f>
        <v/>
      </c>
    </row>
    <row r="114" spans="2:9" ht="15.75" x14ac:dyDescent="0.25">
      <c r="B114" s="22" t="s">
        <v>179</v>
      </c>
      <c r="C114" s="63">
        <f>SUM('Local dist eligible'!N114,'Local dist eligible'!Q114,'Local dist eligible'!T114)</f>
        <v>362633.50964110135</v>
      </c>
      <c r="D114" s="63" t="str">
        <f>IFERROR(VLOOKUP(B114,#REF!,9,FALSE),"")</f>
        <v/>
      </c>
      <c r="E114" s="63">
        <f>SUM('Local dist eligible'!O114,'Local dist eligible'!R114,'Local dist eligible'!U114)</f>
        <v>115782.84317610622</v>
      </c>
      <c r="F114" s="63">
        <f>SUM('Local dist eligible'!P114,'Local dist eligible'!S114,'Local dist eligible'!V114)</f>
        <v>28945.710794026556</v>
      </c>
      <c r="G114" s="63">
        <f t="shared" si="1"/>
        <v>144728.55397013278</v>
      </c>
      <c r="H114" s="63" t="str">
        <f>IFERROR(VLOOKUP(B114,#REF!,10,FALSE),"")</f>
        <v/>
      </c>
      <c r="I114" s="63" t="str">
        <f>IFERROR(VLOOKUP(B114,#REF!,2,FALSE),"")</f>
        <v/>
      </c>
    </row>
    <row r="115" spans="2:9" ht="15.75" x14ac:dyDescent="0.25">
      <c r="B115" s="22" t="s">
        <v>180</v>
      </c>
      <c r="C115" s="63">
        <f>SUM('Local dist eligible'!N115,'Local dist eligible'!Q115,'Local dist eligible'!T115)</f>
        <v>267885.28061833273</v>
      </c>
      <c r="D115" s="63" t="str">
        <f>IFERROR(VLOOKUP(B115,#REF!,9,FALSE),"")</f>
        <v/>
      </c>
      <c r="E115" s="63">
        <f>SUM('Local dist eligible'!O115,'Local dist eligible'!R115,'Local dist eligible'!U115)</f>
        <v>85531.310842499646</v>
      </c>
      <c r="F115" s="63">
        <f>SUM('Local dist eligible'!P115,'Local dist eligible'!S115,'Local dist eligible'!V115)</f>
        <v>21382.827710624912</v>
      </c>
      <c r="G115" s="63">
        <f t="shared" si="1"/>
        <v>106914.13855312456</v>
      </c>
      <c r="H115" s="63" t="str">
        <f>IFERROR(VLOOKUP(B115,#REF!,10,FALSE),"")</f>
        <v/>
      </c>
      <c r="I115" s="63" t="str">
        <f>IFERROR(VLOOKUP(B115,#REF!,2,FALSE),"")</f>
        <v/>
      </c>
    </row>
    <row r="116" spans="2:9" ht="15.75" x14ac:dyDescent="0.25">
      <c r="B116" s="22" t="s">
        <v>181</v>
      </c>
      <c r="C116" s="63">
        <f>SUM('Local dist eligible'!N116,'Local dist eligible'!Q116,'Local dist eligible'!T116)</f>
        <v>143485.62740498467</v>
      </c>
      <c r="D116" s="63" t="str">
        <f>IFERROR(VLOOKUP(B116,#REF!,9,FALSE),"")</f>
        <v/>
      </c>
      <c r="E116" s="63">
        <f>SUM('Local dist eligible'!O116,'Local dist eligible'!R116,'Local dist eligible'!U116)</f>
        <v>45812.57234693678</v>
      </c>
      <c r="F116" s="63">
        <f>SUM('Local dist eligible'!P116,'Local dist eligible'!S116,'Local dist eligible'!V116)</f>
        <v>11453.143086734195</v>
      </c>
      <c r="G116" s="63">
        <f t="shared" si="1"/>
        <v>57265.715433670979</v>
      </c>
      <c r="H116" s="63" t="str">
        <f>IFERROR(VLOOKUP(B116,#REF!,10,FALSE),"")</f>
        <v/>
      </c>
      <c r="I116" s="63" t="str">
        <f>IFERROR(VLOOKUP(B116,#REF!,2,FALSE),"")</f>
        <v/>
      </c>
    </row>
    <row r="117" spans="2:9" ht="15.75" x14ac:dyDescent="0.25">
      <c r="B117" s="22" t="s">
        <v>182</v>
      </c>
      <c r="C117" s="63">
        <f>SUM('Local dist eligible'!N117,'Local dist eligible'!Q117,'Local dist eligible'!T117)</f>
        <v>224941.83868714966</v>
      </c>
      <c r="D117" s="63" t="str">
        <f>IFERROR(VLOOKUP(B117,#REF!,9,FALSE),"")</f>
        <v/>
      </c>
      <c r="E117" s="63">
        <f>SUM('Local dist eligible'!O117,'Local dist eligible'!R117,'Local dist eligible'!U117)</f>
        <v>71820.184676908117</v>
      </c>
      <c r="F117" s="63">
        <f>SUM('Local dist eligible'!P117,'Local dist eligible'!S117,'Local dist eligible'!V117)</f>
        <v>17955.046169227029</v>
      </c>
      <c r="G117" s="63">
        <f t="shared" si="1"/>
        <v>89775.230846135149</v>
      </c>
      <c r="H117" s="63" t="str">
        <f>IFERROR(VLOOKUP(B117,#REF!,10,FALSE),"")</f>
        <v/>
      </c>
      <c r="I117" s="63" t="str">
        <f>IFERROR(VLOOKUP(B117,#REF!,2,FALSE),"")</f>
        <v/>
      </c>
    </row>
    <row r="118" spans="2:9" ht="15.75" x14ac:dyDescent="0.25">
      <c r="B118" s="22" t="s">
        <v>183</v>
      </c>
      <c r="C118" s="63">
        <f>SUM('Local dist eligible'!N118,'Local dist eligible'!Q118,'Local dist eligible'!T118)</f>
        <v>201766.01288301911</v>
      </c>
      <c r="D118" s="63" t="str">
        <f>IFERROR(VLOOKUP(B118,#REF!,9,FALSE),"")</f>
        <v/>
      </c>
      <c r="E118" s="63">
        <f>SUM('Local dist eligible'!O118,'Local dist eligible'!R118,'Local dist eligible'!U118)</f>
        <v>64420.529285953955</v>
      </c>
      <c r="F118" s="63">
        <f>SUM('Local dist eligible'!P118,'Local dist eligible'!S118,'Local dist eligible'!V118)</f>
        <v>16105.132321488489</v>
      </c>
      <c r="G118" s="63">
        <f t="shared" si="1"/>
        <v>80525.661607442438</v>
      </c>
      <c r="H118" s="63" t="str">
        <f>IFERROR(VLOOKUP(B118,#REF!,10,FALSE),"")</f>
        <v/>
      </c>
      <c r="I118" s="63" t="str">
        <f>IFERROR(VLOOKUP(B118,#REF!,2,FALSE),"")</f>
        <v/>
      </c>
    </row>
    <row r="119" spans="2:9" ht="15.75" x14ac:dyDescent="0.25">
      <c r="B119" s="22" t="s">
        <v>184</v>
      </c>
      <c r="C119" s="63">
        <f>SUM('Local dist eligible'!N119,'Local dist eligible'!Q119,'Local dist eligible'!T119)</f>
        <v>46692.472575968881</v>
      </c>
      <c r="D119" s="63" t="str">
        <f>IFERROR(VLOOKUP(B119,#REF!,9,FALSE),"")</f>
        <v/>
      </c>
      <c r="E119" s="63">
        <f>SUM('Local dist eligible'!O119,'Local dist eligible'!R119,'Local dist eligible'!U119)</f>
        <v>14908.129243539996</v>
      </c>
      <c r="F119" s="63">
        <f>SUM('Local dist eligible'!P119,'Local dist eligible'!S119,'Local dist eligible'!V119)</f>
        <v>3727.0323108849989</v>
      </c>
      <c r="G119" s="63">
        <f t="shared" si="1"/>
        <v>18635.161554424994</v>
      </c>
      <c r="H119" s="63" t="str">
        <f>IFERROR(VLOOKUP(B119,#REF!,10,FALSE),"")</f>
        <v/>
      </c>
      <c r="I119" s="63" t="str">
        <f>IFERROR(VLOOKUP(B119,#REF!,2,FALSE),"")</f>
        <v/>
      </c>
    </row>
    <row r="120" spans="2:9" ht="15.75" x14ac:dyDescent="0.25">
      <c r="B120" s="22" t="s">
        <v>185</v>
      </c>
      <c r="C120" s="63">
        <f>SUM('Local dist eligible'!N120,'Local dist eligible'!Q120,'Local dist eligible'!T120)</f>
        <v>482943.3112419555</v>
      </c>
      <c r="D120" s="63" t="str">
        <f>IFERROR(VLOOKUP(B120,#REF!,9,FALSE),"")</f>
        <v/>
      </c>
      <c r="E120" s="63">
        <f>SUM('Local dist eligible'!O120,'Local dist eligible'!R120,'Local dist eligible'!U120)</f>
        <v>154195.76013208885</v>
      </c>
      <c r="F120" s="63">
        <f>SUM('Local dist eligible'!P120,'Local dist eligible'!S120,'Local dist eligible'!V120)</f>
        <v>38548.940033022212</v>
      </c>
      <c r="G120" s="63">
        <f t="shared" si="1"/>
        <v>192744.70016511105</v>
      </c>
      <c r="H120" s="63" t="str">
        <f>IFERROR(VLOOKUP(B120,#REF!,10,FALSE),"")</f>
        <v/>
      </c>
      <c r="I120" s="63" t="str">
        <f>IFERROR(VLOOKUP(B120,#REF!,2,FALSE),"")</f>
        <v/>
      </c>
    </row>
    <row r="121" spans="2:9" ht="15.75" x14ac:dyDescent="0.25">
      <c r="B121" s="22" t="s">
        <v>186</v>
      </c>
      <c r="C121" s="63">
        <f>SUM('Local dist eligible'!N121,'Local dist eligible'!Q121,'Local dist eligible'!T121)</f>
        <v>491804.65640235826</v>
      </c>
      <c r="D121" s="63" t="str">
        <f>IFERROR(VLOOKUP(B121,#REF!,9,FALSE),"")</f>
        <v/>
      </c>
      <c r="E121" s="63">
        <f>SUM('Local dist eligible'!O121,'Local dist eligible'!R121,'Local dist eligible'!U121)</f>
        <v>157025.0401345125</v>
      </c>
      <c r="F121" s="63">
        <f>SUM('Local dist eligible'!P121,'Local dist eligible'!S121,'Local dist eligible'!V121)</f>
        <v>39256.260033628125</v>
      </c>
      <c r="G121" s="63">
        <f t="shared" si="1"/>
        <v>196281.30016814062</v>
      </c>
      <c r="H121" s="63" t="str">
        <f>IFERROR(VLOOKUP(B121,#REF!,10,FALSE),"")</f>
        <v/>
      </c>
      <c r="I121" s="63" t="str">
        <f>IFERROR(VLOOKUP(B121,#REF!,2,FALSE),"")</f>
        <v/>
      </c>
    </row>
    <row r="122" spans="2:9" ht="15.75" x14ac:dyDescent="0.25">
      <c r="B122" s="22" t="s">
        <v>187</v>
      </c>
      <c r="C122" s="63">
        <f>SUM('Local dist eligible'!N122,'Local dist eligible'!Q122,'Local dist eligible'!T122)</f>
        <v>149961.22579143289</v>
      </c>
      <c r="D122" s="63" t="str">
        <f>IFERROR(VLOOKUP(B122,#REF!,9,FALSE),"")</f>
        <v/>
      </c>
      <c r="E122" s="63">
        <f>SUM('Local dist eligible'!O122,'Local dist eligible'!R122,'Local dist eligible'!U122)</f>
        <v>47880.123117938667</v>
      </c>
      <c r="F122" s="63">
        <f>SUM('Local dist eligible'!P122,'Local dist eligible'!S122,'Local dist eligible'!V122)</f>
        <v>11970.030779484667</v>
      </c>
      <c r="G122" s="63">
        <f t="shared" si="1"/>
        <v>59850.153897423334</v>
      </c>
      <c r="H122" s="63" t="str">
        <f>IFERROR(VLOOKUP(B122,#REF!,10,FALSE),"")</f>
        <v/>
      </c>
      <c r="I122" s="63" t="str">
        <f>IFERROR(VLOOKUP(B122,#REF!,2,FALSE),"")</f>
        <v/>
      </c>
    </row>
    <row r="123" spans="2:9" ht="15.75" x14ac:dyDescent="0.25">
      <c r="B123" s="22" t="s">
        <v>188</v>
      </c>
      <c r="C123" s="63">
        <f>SUM('Local dist eligible'!N123,'Local dist eligible'!Q123,'Local dist eligible'!T123)</f>
        <v>241982.88707253974</v>
      </c>
      <c r="D123" s="63" t="str">
        <f>IFERROR(VLOOKUP(B123,#REF!,9,FALSE),"")</f>
        <v/>
      </c>
      <c r="E123" s="63">
        <f>SUM('Local dist eligible'!O123,'Local dist eligible'!R123,'Local dist eligible'!U123)</f>
        <v>77261.107758492042</v>
      </c>
      <c r="F123" s="63">
        <f>SUM('Local dist eligible'!P123,'Local dist eligible'!S123,'Local dist eligible'!V123)</f>
        <v>19315.276939623011</v>
      </c>
      <c r="G123" s="63">
        <f t="shared" si="1"/>
        <v>96576.384698115056</v>
      </c>
      <c r="H123" s="63" t="str">
        <f>IFERROR(VLOOKUP(B123,#REF!,10,FALSE),"")</f>
        <v/>
      </c>
      <c r="I123" s="63" t="str">
        <f>IFERROR(VLOOKUP(B123,#REF!,2,FALSE),"")</f>
        <v/>
      </c>
    </row>
    <row r="124" spans="2:9" ht="15.75" x14ac:dyDescent="0.25">
      <c r="B124" s="22" t="s">
        <v>189</v>
      </c>
      <c r="C124" s="63">
        <f>SUM('Local dist eligible'!N124,'Local dist eligible'!Q124,'Local dist eligible'!T124)</f>
        <v>19767.616127052512</v>
      </c>
      <c r="D124" s="63" t="str">
        <f>IFERROR(VLOOKUP(B124,#REF!,9,FALSE),"")</f>
        <v/>
      </c>
      <c r="E124" s="63">
        <f>SUM('Local dist eligible'!O124,'Local dist eligible'!R124,'Local dist eligible'!U124)</f>
        <v>6311.4707746373697</v>
      </c>
      <c r="F124" s="63">
        <f>SUM('Local dist eligible'!P124,'Local dist eligible'!S124,'Local dist eligible'!V124)</f>
        <v>1577.8676936593424</v>
      </c>
      <c r="G124" s="63">
        <f t="shared" si="1"/>
        <v>7889.3384682967117</v>
      </c>
      <c r="H124" s="63" t="str">
        <f>IFERROR(VLOOKUP(B124,#REF!,10,FALSE),"")</f>
        <v/>
      </c>
      <c r="I124" s="63" t="str">
        <f>IFERROR(VLOOKUP(B124,#REF!,2,FALSE),"")</f>
        <v/>
      </c>
    </row>
    <row r="125" spans="2:9" ht="15.75" x14ac:dyDescent="0.25">
      <c r="B125" s="22" t="s">
        <v>190</v>
      </c>
      <c r="C125" s="63">
        <f>SUM('Local dist eligible'!N125,'Local dist eligible'!Q125,'Local dist eligible'!T125)</f>
        <v>27606.498384331961</v>
      </c>
      <c r="D125" s="63" t="str">
        <f>IFERROR(VLOOKUP(B125,#REF!,9,FALSE),"")</f>
        <v/>
      </c>
      <c r="E125" s="63">
        <f>SUM('Local dist eligible'!O125,'Local dist eligible'!R125,'Local dist eligible'!U125)</f>
        <v>8814.2953921659828</v>
      </c>
      <c r="F125" s="63">
        <f>SUM('Local dist eligible'!P125,'Local dist eligible'!S125,'Local dist eligible'!V125)</f>
        <v>2203.5738480414957</v>
      </c>
      <c r="G125" s="63">
        <f t="shared" si="1"/>
        <v>11017.869240207478</v>
      </c>
      <c r="H125" s="63" t="str">
        <f>IFERROR(VLOOKUP(B125,#REF!,10,FALSE),"")</f>
        <v/>
      </c>
      <c r="I125" s="63" t="str">
        <f>IFERROR(VLOOKUP(B125,#REF!,2,FALSE),"")</f>
        <v/>
      </c>
    </row>
    <row r="126" spans="2:9" ht="15.75" x14ac:dyDescent="0.25">
      <c r="B126" s="22" t="s">
        <v>12</v>
      </c>
      <c r="C126" s="63">
        <f>SUM('Local dist eligible'!N126,'Local dist eligible'!Q126,'Local dist eligible'!T126)</f>
        <v>547358.47413872997</v>
      </c>
      <c r="D126" s="63" t="str">
        <f>IFERROR(VLOOKUP(B126,#REF!,9,FALSE),"")</f>
        <v/>
      </c>
      <c r="E126" s="63">
        <f>SUM('Local dist eligible'!O126,'Local dist eligible'!R126,'Local dist eligible'!U126)</f>
        <v>174762.44938047614</v>
      </c>
      <c r="F126" s="63">
        <f>SUM('Local dist eligible'!P126,'Local dist eligible'!S126,'Local dist eligible'!V126)</f>
        <v>43690.612345119036</v>
      </c>
      <c r="G126" s="63">
        <f t="shared" si="1"/>
        <v>218453.06172559518</v>
      </c>
      <c r="H126" s="63" t="str">
        <f>IFERROR(VLOOKUP(B126,#REF!,10,FALSE),"")</f>
        <v/>
      </c>
      <c r="I126" s="63" t="str">
        <f>IFERROR(VLOOKUP(B126,#REF!,2,FALSE),"")</f>
        <v/>
      </c>
    </row>
    <row r="127" spans="2:9" ht="15.75" x14ac:dyDescent="0.25">
      <c r="B127" s="22" t="s">
        <v>191</v>
      </c>
      <c r="C127" s="63">
        <f>SUM('Local dist eligible'!N127,'Local dist eligible'!Q127,'Local dist eligible'!T127)</f>
        <v>1656049.0820922102</v>
      </c>
      <c r="D127" s="63" t="str">
        <f>IFERROR(VLOOKUP(B127,#REF!,9,FALSE),"")</f>
        <v/>
      </c>
      <c r="E127" s="63">
        <f>SUM('Local dist eligible'!O127,'Local dist eligible'!R127,'Local dist eligible'!U127)</f>
        <v>528748.90506832732</v>
      </c>
      <c r="F127" s="63">
        <f>SUM('Local dist eligible'!P127,'Local dist eligible'!S127,'Local dist eligible'!V127)</f>
        <v>132187.22626708183</v>
      </c>
      <c r="G127" s="63">
        <f t="shared" si="1"/>
        <v>660936.13133540913</v>
      </c>
      <c r="H127" s="63" t="str">
        <f>IFERROR(VLOOKUP(B127,#REF!,10,FALSE),"")</f>
        <v/>
      </c>
      <c r="I127" s="63" t="str">
        <f>IFERROR(VLOOKUP(B127,#REF!,2,FALSE),"")</f>
        <v/>
      </c>
    </row>
    <row r="128" spans="2:9" ht="15.75" x14ac:dyDescent="0.25">
      <c r="B128" s="22" t="s">
        <v>192</v>
      </c>
      <c r="C128" s="63">
        <f>SUM('Local dist eligible'!N128,'Local dist eligible'!Q128,'Local dist eligible'!T128)</f>
        <v>261068.86126417667</v>
      </c>
      <c r="D128" s="63" t="str">
        <f>IFERROR(VLOOKUP(B128,#REF!,9,FALSE),"")</f>
        <v/>
      </c>
      <c r="E128" s="63">
        <f>SUM('Local dist eligible'!O128,'Local dist eligible'!R128,'Local dist eligible'!U128)</f>
        <v>83354.941609866073</v>
      </c>
      <c r="F128" s="63">
        <f>SUM('Local dist eligible'!P128,'Local dist eligible'!S128,'Local dist eligible'!V128)</f>
        <v>20838.735402466518</v>
      </c>
      <c r="G128" s="63">
        <f t="shared" si="1"/>
        <v>104193.6770123326</v>
      </c>
      <c r="H128" s="63" t="str">
        <f>IFERROR(VLOOKUP(B128,#REF!,10,FALSE),"")</f>
        <v/>
      </c>
      <c r="I128" s="63" t="str">
        <f>IFERROR(VLOOKUP(B128,#REF!,2,FALSE),"")</f>
        <v/>
      </c>
    </row>
    <row r="129" spans="2:9" ht="15.75" x14ac:dyDescent="0.25">
      <c r="B129" s="22" t="s">
        <v>193</v>
      </c>
      <c r="C129" s="63">
        <f>SUM('Local dist eligible'!N129,'Local dist eligible'!Q129,'Local dist eligible'!T129)</f>
        <v>339457.68383697118</v>
      </c>
      <c r="D129" s="63" t="str">
        <f>IFERROR(VLOOKUP(B129,#REF!,9,FALSE),"")</f>
        <v/>
      </c>
      <c r="E129" s="63">
        <f>SUM('Local dist eligible'!O129,'Local dist eligible'!R129,'Local dist eligible'!U129)</f>
        <v>108383.18778515219</v>
      </c>
      <c r="F129" s="63">
        <f>SUM('Local dist eligible'!P129,'Local dist eligible'!S129,'Local dist eligible'!V129)</f>
        <v>27095.796946288046</v>
      </c>
      <c r="G129" s="63">
        <f t="shared" si="1"/>
        <v>135478.98473144023</v>
      </c>
      <c r="H129" s="63" t="str">
        <f>IFERROR(VLOOKUP(B129,#REF!,10,FALSE),"")</f>
        <v/>
      </c>
      <c r="I129" s="63" t="str">
        <f>IFERROR(VLOOKUP(B129,#REF!,2,FALSE),"")</f>
        <v/>
      </c>
    </row>
    <row r="130" spans="2:9" ht="15.75" x14ac:dyDescent="0.25">
      <c r="B130" s="22" t="s">
        <v>194</v>
      </c>
      <c r="C130" s="63">
        <f>SUM('Local dist eligible'!N130,'Local dist eligible'!Q130,'Local dist eligible'!T130)</f>
        <v>123718.01127793215</v>
      </c>
      <c r="D130" s="63" t="str">
        <f>IFERROR(VLOOKUP(B130,#REF!,9,FALSE),"")</f>
        <v/>
      </c>
      <c r="E130" s="63">
        <f>SUM('Local dist eligible'!O130,'Local dist eligible'!R130,'Local dist eligible'!U130)</f>
        <v>39501.101572299405</v>
      </c>
      <c r="F130" s="63">
        <f>SUM('Local dist eligible'!P130,'Local dist eligible'!S130,'Local dist eligible'!V130)</f>
        <v>9875.2753930748513</v>
      </c>
      <c r="G130" s="63">
        <f t="shared" si="1"/>
        <v>49376.376965374257</v>
      </c>
      <c r="H130" s="63" t="str">
        <f>IFERROR(VLOOKUP(B130,#REF!,10,FALSE),"")</f>
        <v/>
      </c>
      <c r="I130" s="63" t="str">
        <f>IFERROR(VLOOKUP(B130,#REF!,2,FALSE),"")</f>
        <v/>
      </c>
    </row>
    <row r="131" spans="2:9" ht="15.75" x14ac:dyDescent="0.25">
      <c r="B131" s="22" t="s">
        <v>195</v>
      </c>
      <c r="C131" s="63">
        <f>SUM('Local dist eligible'!N131,'Local dist eligible'!Q131,'Local dist eligible'!T131)</f>
        <v>76003.075798839855</v>
      </c>
      <c r="D131" s="63" t="str">
        <f>IFERROR(VLOOKUP(B131,#REF!,9,FALSE),"")</f>
        <v/>
      </c>
      <c r="E131" s="63">
        <f>SUM('Local dist eligible'!O131,'Local dist eligible'!R131,'Local dist eligible'!U131)</f>
        <v>24266.516943864372</v>
      </c>
      <c r="F131" s="63">
        <f>SUM('Local dist eligible'!P131,'Local dist eligible'!S131,'Local dist eligible'!V131)</f>
        <v>6066.6292359660929</v>
      </c>
      <c r="G131" s="63">
        <f t="shared" si="1"/>
        <v>30333.146179830466</v>
      </c>
      <c r="H131" s="63" t="str">
        <f>IFERROR(VLOOKUP(B131,#REF!,10,FALSE),"")</f>
        <v/>
      </c>
      <c r="I131" s="63" t="str">
        <f>IFERROR(VLOOKUP(B131,#REF!,2,FALSE),"")</f>
        <v/>
      </c>
    </row>
    <row r="132" spans="2:9" ht="15.75" x14ac:dyDescent="0.25">
      <c r="B132" s="22" t="s">
        <v>196</v>
      </c>
      <c r="C132" s="63">
        <f>SUM('Local dist eligible'!N132,'Local dist eligible'!Q132,'Local dist eligible'!T132)</f>
        <v>29310.603222870974</v>
      </c>
      <c r="D132" s="63" t="str">
        <f>IFERROR(VLOOKUP(B132,#REF!,9,FALSE),"")</f>
        <v/>
      </c>
      <c r="E132" s="63">
        <f>SUM('Local dist eligible'!O132,'Local dist eligible'!R132,'Local dist eligible'!U132)</f>
        <v>9358.3877003243761</v>
      </c>
      <c r="F132" s="63">
        <f>SUM('Local dist eligible'!P132,'Local dist eligible'!S132,'Local dist eligible'!V132)</f>
        <v>2339.596925081094</v>
      </c>
      <c r="G132" s="63">
        <f t="shared" si="1"/>
        <v>11697.98462540547</v>
      </c>
      <c r="H132" s="63" t="str">
        <f>IFERROR(VLOOKUP(B132,#REF!,10,FALSE),"")</f>
        <v/>
      </c>
      <c r="I132" s="63" t="str">
        <f>IFERROR(VLOOKUP(B132,#REF!,2,FALSE),"")</f>
        <v/>
      </c>
    </row>
    <row r="133" spans="2:9" ht="15.75" x14ac:dyDescent="0.25">
      <c r="B133" s="22" t="s">
        <v>197</v>
      </c>
      <c r="C133" s="63">
        <f>SUM('Local dist eligible'!N133,'Local dist eligible'!Q133,'Local dist eligible'!T133)</f>
        <v>221192.80804236385</v>
      </c>
      <c r="D133" s="63" t="str">
        <f>IFERROR(VLOOKUP(B133,#REF!,9,FALSE),"")</f>
        <v/>
      </c>
      <c r="E133" s="63">
        <f>SUM('Local dist eligible'!O133,'Local dist eligible'!R133,'Local dist eligible'!U133)</f>
        <v>70623.181598959651</v>
      </c>
      <c r="F133" s="63">
        <f>SUM('Local dist eligible'!P133,'Local dist eligible'!S133,'Local dist eligible'!V133)</f>
        <v>17655.795399739913</v>
      </c>
      <c r="G133" s="63">
        <f t="shared" ref="G133:G136" si="2">SUM(E133,F133)</f>
        <v>88278.976998699567</v>
      </c>
      <c r="H133" s="63" t="str">
        <f>IFERROR(VLOOKUP(B133,#REF!,10,FALSE),"")</f>
        <v/>
      </c>
      <c r="I133" s="63" t="str">
        <f>IFERROR(VLOOKUP(B133,#REF!,2,FALSE),"")</f>
        <v/>
      </c>
    </row>
    <row r="134" spans="2:9" ht="15.75" x14ac:dyDescent="0.25">
      <c r="B134" s="22" t="s">
        <v>198</v>
      </c>
      <c r="C134" s="63">
        <f>SUM('Local dist eligible'!N134,'Local dist eligible'!Q134,'Local dist eligible'!T134)</f>
        <v>598481.61929490033</v>
      </c>
      <c r="D134" s="63" t="str">
        <f>IFERROR(VLOOKUP(B134,#REF!,9,FALSE),"")</f>
        <v/>
      </c>
      <c r="E134" s="63">
        <f>SUM('Local dist eligible'!O134,'Local dist eligible'!R134,'Local dist eligible'!U134)</f>
        <v>191085.21862522795</v>
      </c>
      <c r="F134" s="63">
        <f>SUM('Local dist eligible'!P134,'Local dist eligible'!S134,'Local dist eligible'!V134)</f>
        <v>47771.304656306987</v>
      </c>
      <c r="G134" s="63">
        <f t="shared" si="2"/>
        <v>238856.52328153493</v>
      </c>
      <c r="H134" s="63" t="str">
        <f>IFERROR(VLOOKUP(B134,#REF!,10,FALSE),"")</f>
        <v/>
      </c>
      <c r="I134" s="63" t="str">
        <f>IFERROR(VLOOKUP(B134,#REF!,2,FALSE),"")</f>
        <v/>
      </c>
    </row>
    <row r="135" spans="2:9" ht="15.75" x14ac:dyDescent="0.25">
      <c r="B135" s="22" t="s">
        <v>199</v>
      </c>
      <c r="C135" s="63">
        <f>SUM('Local dist eligible'!N135,'Local dist eligible'!Q135,'Local dist eligible'!T135)</f>
        <v>218807.06126840922</v>
      </c>
      <c r="D135" s="63" t="str">
        <f>IFERROR(VLOOKUP(B135,#REF!,9,FALSE),"")</f>
        <v/>
      </c>
      <c r="E135" s="63">
        <f>SUM('Local dist eligible'!O135,'Local dist eligible'!R135,'Local dist eligible'!U135)</f>
        <v>69861.452367537888</v>
      </c>
      <c r="F135" s="63">
        <f>SUM('Local dist eligible'!P135,'Local dist eligible'!S135,'Local dist eligible'!V135)</f>
        <v>17465.363091884472</v>
      </c>
      <c r="G135" s="63">
        <f t="shared" si="2"/>
        <v>87326.81545942236</v>
      </c>
      <c r="H135" s="63" t="str">
        <f>IFERROR(VLOOKUP(B135,#REF!,10,FALSE),"")</f>
        <v/>
      </c>
      <c r="I135" s="63" t="str">
        <f>IFERROR(VLOOKUP(B135,#REF!,2,FALSE),"")</f>
        <v/>
      </c>
    </row>
    <row r="136" spans="2:9" ht="15.75" x14ac:dyDescent="0.25">
      <c r="B136" s="22" t="s">
        <v>200</v>
      </c>
      <c r="C136" s="63">
        <f>SUM('Local dist eligible'!N136,'Local dist eligible'!Q136,'Local dist eligible'!T136)</f>
        <v>191200.56288407726</v>
      </c>
      <c r="D136" s="63" t="str">
        <f>IFERROR(VLOOKUP(B136,#REF!,9,FALSE),"")</f>
        <v/>
      </c>
      <c r="E136" s="63">
        <f>SUM('Local dist eligible'!O136,'Local dist eligible'!R136,'Local dist eligible'!U136)</f>
        <v>61047.156975371909</v>
      </c>
      <c r="F136" s="63">
        <f>SUM('Local dist eligible'!P136,'Local dist eligible'!S136,'Local dist eligible'!V136)</f>
        <v>15261.789243842977</v>
      </c>
      <c r="G136" s="63">
        <f t="shared" si="2"/>
        <v>76308.946219214879</v>
      </c>
      <c r="H136" s="63" t="str">
        <f>IFERROR(VLOOKUP(B136,#REF!,10,FALSE),"")</f>
        <v/>
      </c>
      <c r="I136" s="63" t="str">
        <f>IFERROR(VLOOKUP(B136,#REF!,2,FALSE),"")</f>
        <v/>
      </c>
    </row>
    <row r="138" spans="2:9" x14ac:dyDescent="0.25">
      <c r="C138" s="63">
        <f>SUM(C4:C136)</f>
        <v>34081755.949812479</v>
      </c>
      <c r="D138" s="63">
        <f t="shared" ref="D138:I138" si="3">SUM(D4:D136)</f>
        <v>0</v>
      </c>
      <c r="E138" s="63">
        <f t="shared" si="3"/>
        <v>10881737.344706254</v>
      </c>
      <c r="F138" s="63">
        <f t="shared" si="3"/>
        <v>2718448.3992517856</v>
      </c>
      <c r="G138" s="63">
        <f t="shared" si="3"/>
        <v>13600185.743958035</v>
      </c>
      <c r="H138" s="63">
        <f t="shared" si="3"/>
        <v>0</v>
      </c>
      <c r="I138" s="63">
        <f t="shared" si="3"/>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E0BA-17AA-4E9D-BAD4-D1F685EEC55B}">
  <dimension ref="A1:C65"/>
  <sheetViews>
    <sheetView workbookViewId="0">
      <selection activeCell="N27" sqref="N27"/>
    </sheetView>
  </sheetViews>
  <sheetFormatPr defaultRowHeight="15" x14ac:dyDescent="0.25"/>
  <cols>
    <col min="1" max="1" width="21.140625" style="3" bestFit="1" customWidth="1"/>
    <col min="2" max="2" width="16.42578125" style="3" bestFit="1" customWidth="1"/>
    <col min="3" max="3" width="18.140625" customWidth="1"/>
    <col min="4" max="4" width="12.140625" customWidth="1"/>
  </cols>
  <sheetData>
    <row r="1" spans="1:3" x14ac:dyDescent="0.25">
      <c r="A1" s="3" t="s">
        <v>53</v>
      </c>
      <c r="B1" s="3">
        <v>0</v>
      </c>
    </row>
    <row r="2" spans="1:3" x14ac:dyDescent="0.25">
      <c r="A2" s="3" t="s">
        <v>343</v>
      </c>
      <c r="B2" s="3">
        <v>0</v>
      </c>
    </row>
    <row r="3" spans="1:3" x14ac:dyDescent="0.25">
      <c r="A3" s="3" t="s">
        <v>344</v>
      </c>
      <c r="B3" s="3">
        <v>0</v>
      </c>
    </row>
    <row r="4" spans="1:3" x14ac:dyDescent="0.25">
      <c r="A4" s="3" t="s">
        <v>64</v>
      </c>
      <c r="B4" s="3">
        <v>0</v>
      </c>
    </row>
    <row r="5" spans="1:3" x14ac:dyDescent="0.25">
      <c r="A5" s="3" t="s">
        <v>11</v>
      </c>
      <c r="B5" s="3">
        <v>0</v>
      </c>
    </row>
    <row r="6" spans="1:3" x14ac:dyDescent="0.25">
      <c r="A6" s="3" t="s">
        <v>11</v>
      </c>
      <c r="B6" s="3">
        <v>14555</v>
      </c>
    </row>
    <row r="7" spans="1:3" x14ac:dyDescent="0.25">
      <c r="A7" s="3" t="s">
        <v>79</v>
      </c>
      <c r="B7" s="3">
        <v>0</v>
      </c>
    </row>
    <row r="8" spans="1:3" x14ac:dyDescent="0.25">
      <c r="A8" s="3" t="s">
        <v>85</v>
      </c>
      <c r="B8" s="3">
        <v>9082</v>
      </c>
    </row>
    <row r="9" spans="1:3" x14ac:dyDescent="0.25">
      <c r="A9" s="3" t="s">
        <v>89</v>
      </c>
      <c r="B9" s="3">
        <v>17290</v>
      </c>
    </row>
    <row r="10" spans="1:3" x14ac:dyDescent="0.25">
      <c r="A10" s="3" t="s">
        <v>94</v>
      </c>
      <c r="B10" s="3">
        <v>0</v>
      </c>
    </row>
    <row r="11" spans="1:3" x14ac:dyDescent="0.25">
      <c r="A11" s="3" t="s">
        <v>95</v>
      </c>
      <c r="B11" s="3">
        <v>0</v>
      </c>
    </row>
    <row r="12" spans="1:3" x14ac:dyDescent="0.25">
      <c r="A12" s="3" t="s">
        <v>95</v>
      </c>
      <c r="B12" s="3">
        <v>79885</v>
      </c>
    </row>
    <row r="13" spans="1:3" x14ac:dyDescent="0.25">
      <c r="A13" s="3" t="s">
        <v>95</v>
      </c>
      <c r="B13" s="3">
        <v>7142</v>
      </c>
    </row>
    <row r="14" spans="1:3" x14ac:dyDescent="0.25">
      <c r="A14" s="3" t="s">
        <v>95</v>
      </c>
      <c r="B14" s="3">
        <v>2500</v>
      </c>
      <c r="C14" s="3">
        <f>SUM(B11:B14)</f>
        <v>89527</v>
      </c>
    </row>
    <row r="15" spans="1:3" x14ac:dyDescent="0.25">
      <c r="A15" s="3" t="s">
        <v>97</v>
      </c>
      <c r="B15" s="3">
        <v>30400</v>
      </c>
    </row>
    <row r="16" spans="1:3" x14ac:dyDescent="0.25">
      <c r="A16" s="3" t="s">
        <v>100</v>
      </c>
      <c r="B16" s="3">
        <v>0</v>
      </c>
    </row>
    <row r="17" spans="1:3" x14ac:dyDescent="0.25">
      <c r="A17" s="3" t="s">
        <v>36</v>
      </c>
      <c r="B17" s="3">
        <v>1010000</v>
      </c>
    </row>
    <row r="18" spans="1:3" x14ac:dyDescent="0.25">
      <c r="A18" s="3" t="s">
        <v>110</v>
      </c>
      <c r="B18" s="3">
        <v>71205</v>
      </c>
    </row>
    <row r="19" spans="1:3" x14ac:dyDescent="0.25">
      <c r="A19" s="3" t="s">
        <v>115</v>
      </c>
      <c r="B19" s="3">
        <v>37050</v>
      </c>
    </row>
    <row r="20" spans="1:3" x14ac:dyDescent="0.25">
      <c r="A20" s="3" t="s">
        <v>116</v>
      </c>
      <c r="B20" s="3">
        <v>0</v>
      </c>
    </row>
    <row r="21" spans="1:3" x14ac:dyDescent="0.25">
      <c r="A21" s="3" t="s">
        <v>117</v>
      </c>
      <c r="B21" s="3">
        <v>160021</v>
      </c>
    </row>
    <row r="22" spans="1:3" x14ac:dyDescent="0.25">
      <c r="A22" s="3" t="s">
        <v>120</v>
      </c>
      <c r="B22" s="3">
        <v>0</v>
      </c>
      <c r="C22" s="3"/>
    </row>
    <row r="23" spans="1:3" x14ac:dyDescent="0.25">
      <c r="A23" s="3" t="s">
        <v>124</v>
      </c>
      <c r="B23" s="3">
        <v>0</v>
      </c>
    </row>
    <row r="24" spans="1:3" x14ac:dyDescent="0.25">
      <c r="A24" s="3" t="s">
        <v>125</v>
      </c>
      <c r="B24" s="3">
        <v>7142</v>
      </c>
    </row>
    <row r="25" spans="1:3" x14ac:dyDescent="0.25">
      <c r="A25" s="3" t="s">
        <v>125</v>
      </c>
      <c r="B25" s="3">
        <v>2500</v>
      </c>
      <c r="C25" s="3">
        <f>SUM(B24:B25)</f>
        <v>9642</v>
      </c>
    </row>
    <row r="26" spans="1:3" x14ac:dyDescent="0.25">
      <c r="A26" s="3" t="s">
        <v>126</v>
      </c>
      <c r="B26" s="3">
        <v>39264</v>
      </c>
    </row>
    <row r="27" spans="1:3" x14ac:dyDescent="0.25">
      <c r="A27" s="3" t="s">
        <v>126</v>
      </c>
      <c r="B27" s="3">
        <v>19632</v>
      </c>
      <c r="C27" s="3">
        <f>SUM(B26:B27)</f>
        <v>58896</v>
      </c>
    </row>
    <row r="28" spans="1:3" x14ac:dyDescent="0.25">
      <c r="A28" s="3" t="s">
        <v>127</v>
      </c>
      <c r="B28" s="3">
        <v>0</v>
      </c>
    </row>
    <row r="29" spans="1:3" x14ac:dyDescent="0.25">
      <c r="A29" s="3" t="s">
        <v>127</v>
      </c>
      <c r="B29" s="3">
        <v>0</v>
      </c>
    </row>
    <row r="30" spans="1:3" x14ac:dyDescent="0.25">
      <c r="A30" s="3" t="s">
        <v>127</v>
      </c>
      <c r="B30" s="3">
        <v>2500</v>
      </c>
    </row>
    <row r="31" spans="1:3" x14ac:dyDescent="0.25">
      <c r="A31" s="3" t="s">
        <v>134</v>
      </c>
      <c r="B31" s="3">
        <v>22230</v>
      </c>
    </row>
    <row r="32" spans="1:3" x14ac:dyDescent="0.25">
      <c r="A32" s="3" t="s">
        <v>137</v>
      </c>
      <c r="B32" s="3">
        <v>13542</v>
      </c>
    </row>
    <row r="33" spans="1:3" x14ac:dyDescent="0.25">
      <c r="A33" s="3" t="s">
        <v>138</v>
      </c>
      <c r="B33" s="3">
        <v>10829</v>
      </c>
    </row>
    <row r="34" spans="1:3" x14ac:dyDescent="0.25">
      <c r="A34" s="3" t="s">
        <v>140</v>
      </c>
      <c r="B34" s="3">
        <v>0</v>
      </c>
    </row>
    <row r="35" spans="1:3" x14ac:dyDescent="0.25">
      <c r="A35" s="3" t="s">
        <v>142</v>
      </c>
      <c r="B35" s="3">
        <v>0</v>
      </c>
    </row>
    <row r="36" spans="1:3" x14ac:dyDescent="0.25">
      <c r="A36" s="3" t="s">
        <v>145</v>
      </c>
      <c r="B36" s="3">
        <v>2000</v>
      </c>
    </row>
    <row r="37" spans="1:3" x14ac:dyDescent="0.25">
      <c r="A37" s="3" t="s">
        <v>146</v>
      </c>
      <c r="B37" s="3">
        <v>0</v>
      </c>
    </row>
    <row r="38" spans="1:3" x14ac:dyDescent="0.25">
      <c r="A38" s="3" t="s">
        <v>150</v>
      </c>
      <c r="B38" s="3">
        <v>471438</v>
      </c>
    </row>
    <row r="39" spans="1:3" x14ac:dyDescent="0.25">
      <c r="A39" s="3" t="s">
        <v>154</v>
      </c>
      <c r="B39" s="3">
        <v>200520</v>
      </c>
    </row>
    <row r="40" spans="1:3" x14ac:dyDescent="0.25">
      <c r="A40" s="3" t="s">
        <v>157</v>
      </c>
      <c r="B40" s="3">
        <v>2679</v>
      </c>
    </row>
    <row r="41" spans="1:3" x14ac:dyDescent="0.25">
      <c r="A41" s="3" t="s">
        <v>162</v>
      </c>
      <c r="B41" s="3">
        <v>28582</v>
      </c>
    </row>
    <row r="42" spans="1:3" x14ac:dyDescent="0.25">
      <c r="A42" s="3" t="s">
        <v>166</v>
      </c>
      <c r="B42" s="3">
        <v>0</v>
      </c>
    </row>
    <row r="43" spans="1:3" x14ac:dyDescent="0.25">
      <c r="A43" s="3" t="s">
        <v>166</v>
      </c>
      <c r="B43" s="3">
        <v>28510</v>
      </c>
    </row>
    <row r="44" spans="1:3" x14ac:dyDescent="0.25">
      <c r="A44" s="3" t="s">
        <v>169</v>
      </c>
      <c r="B44" s="3">
        <v>0</v>
      </c>
    </row>
    <row r="45" spans="1:3" x14ac:dyDescent="0.25">
      <c r="A45" s="3" t="s">
        <v>170</v>
      </c>
      <c r="B45" s="3">
        <v>415100</v>
      </c>
    </row>
    <row r="46" spans="1:3" x14ac:dyDescent="0.25">
      <c r="A46" s="3" t="s">
        <v>171</v>
      </c>
      <c r="B46" s="3">
        <v>96635</v>
      </c>
    </row>
    <row r="47" spans="1:3" x14ac:dyDescent="0.25">
      <c r="A47" s="3" t="s">
        <v>174</v>
      </c>
      <c r="B47" s="3">
        <v>7142</v>
      </c>
    </row>
    <row r="48" spans="1:3" x14ac:dyDescent="0.25">
      <c r="A48" s="3" t="s">
        <v>174</v>
      </c>
      <c r="B48" s="3">
        <v>2500</v>
      </c>
      <c r="C48" s="3">
        <f>SUM(B47:B48)</f>
        <v>9642</v>
      </c>
    </row>
    <row r="49" spans="1:2" x14ac:dyDescent="0.25">
      <c r="A49" s="3" t="s">
        <v>175</v>
      </c>
      <c r="B49" s="3">
        <v>0</v>
      </c>
    </row>
    <row r="50" spans="1:2" x14ac:dyDescent="0.25">
      <c r="A50" s="3" t="s">
        <v>175</v>
      </c>
      <c r="B50" s="3">
        <v>0</v>
      </c>
    </row>
    <row r="51" spans="1:2" x14ac:dyDescent="0.25">
      <c r="A51" s="3" t="s">
        <v>178</v>
      </c>
      <c r="B51" s="3">
        <v>0</v>
      </c>
    </row>
    <row r="52" spans="1:2" x14ac:dyDescent="0.25">
      <c r="A52" s="3" t="s">
        <v>345</v>
      </c>
      <c r="B52" s="3">
        <v>0</v>
      </c>
    </row>
    <row r="53" spans="1:2" x14ac:dyDescent="0.25">
      <c r="A53" s="3" t="s">
        <v>346</v>
      </c>
      <c r="B53" s="3">
        <v>0</v>
      </c>
    </row>
    <row r="54" spans="1:2" x14ac:dyDescent="0.25">
      <c r="A54" s="3" t="s">
        <v>181</v>
      </c>
      <c r="B54" s="3">
        <v>10254</v>
      </c>
    </row>
    <row r="55" spans="1:2" x14ac:dyDescent="0.25">
      <c r="A55" s="3" t="s">
        <v>183</v>
      </c>
      <c r="B55" s="3">
        <v>0</v>
      </c>
    </row>
    <row r="56" spans="1:2" x14ac:dyDescent="0.25">
      <c r="A56" s="3" t="s">
        <v>185</v>
      </c>
      <c r="B56" s="3">
        <v>91390</v>
      </c>
    </row>
    <row r="57" spans="1:2" x14ac:dyDescent="0.25">
      <c r="A57" s="3" t="s">
        <v>186</v>
      </c>
      <c r="B57" s="3">
        <v>0</v>
      </c>
    </row>
    <row r="58" spans="1:2" x14ac:dyDescent="0.25">
      <c r="A58" s="3" t="s">
        <v>186</v>
      </c>
      <c r="B58" s="3">
        <v>79040</v>
      </c>
    </row>
    <row r="59" spans="1:2" x14ac:dyDescent="0.25">
      <c r="A59" s="3" t="s">
        <v>188</v>
      </c>
      <c r="B59" s="3">
        <v>0</v>
      </c>
    </row>
    <row r="60" spans="1:2" x14ac:dyDescent="0.25">
      <c r="A60" s="3" t="s">
        <v>191</v>
      </c>
      <c r="B60" s="3">
        <v>0</v>
      </c>
    </row>
    <row r="61" spans="1:2" x14ac:dyDescent="0.25">
      <c r="A61" s="3" t="s">
        <v>193</v>
      </c>
      <c r="B61" s="3">
        <v>0</v>
      </c>
    </row>
    <row r="62" spans="1:2" x14ac:dyDescent="0.25">
      <c r="A62" s="3" t="s">
        <v>194</v>
      </c>
      <c r="B62" s="3">
        <v>0</v>
      </c>
    </row>
    <row r="63" spans="1:2" x14ac:dyDescent="0.25">
      <c r="A63" s="3" t="s">
        <v>198</v>
      </c>
      <c r="B63" s="3">
        <v>42770</v>
      </c>
    </row>
    <row r="65" spans="2:2" x14ac:dyDescent="0.25">
      <c r="B65" s="3">
        <f>SUM(B1:B63)</f>
        <v>3035329</v>
      </c>
    </row>
  </sheetData>
  <sortState xmlns:xlrd2="http://schemas.microsoft.com/office/spreadsheetml/2017/richdata2" ref="A1:B63">
    <sortCondition ref="A1:A63"/>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20939-C5DF-40A0-B130-E9E6FBF7D4AE}">
  <dimension ref="A1:P158"/>
  <sheetViews>
    <sheetView topLeftCell="A72" workbookViewId="0">
      <selection activeCell="N27" sqref="N27"/>
    </sheetView>
  </sheetViews>
  <sheetFormatPr defaultRowHeight="15" x14ac:dyDescent="0.25"/>
  <cols>
    <col min="1" max="1" width="23" bestFit="1" customWidth="1"/>
    <col min="2" max="2" width="7.140625" bestFit="1" customWidth="1"/>
    <col min="3" max="3" width="23" bestFit="1" customWidth="1"/>
    <col min="4" max="4" width="10.140625" bestFit="1" customWidth="1"/>
    <col min="5" max="5" width="18" bestFit="1" customWidth="1"/>
    <col min="6" max="16" width="12.7109375" style="2" customWidth="1"/>
  </cols>
  <sheetData>
    <row r="1" spans="1:16" s="7" customFormat="1" ht="75" x14ac:dyDescent="0.25">
      <c r="A1" s="7" t="s">
        <v>201</v>
      </c>
      <c r="B1" s="7" t="s">
        <v>202</v>
      </c>
      <c r="C1" s="7" t="s">
        <v>347</v>
      </c>
      <c r="D1" s="7" t="s">
        <v>49</v>
      </c>
      <c r="E1" s="7" t="s">
        <v>348</v>
      </c>
      <c r="F1" s="8" t="s">
        <v>349</v>
      </c>
      <c r="G1" s="8" t="s">
        <v>350</v>
      </c>
      <c r="H1" s="8" t="s">
        <v>351</v>
      </c>
      <c r="I1" s="8" t="s">
        <v>352</v>
      </c>
      <c r="J1" s="8" t="s">
        <v>353</v>
      </c>
      <c r="K1" s="8" t="s">
        <v>354</v>
      </c>
      <c r="L1" s="8" t="s">
        <v>355</v>
      </c>
      <c r="M1" s="8" t="s">
        <v>356</v>
      </c>
      <c r="N1" s="8" t="s">
        <v>357</v>
      </c>
      <c r="O1" s="8" t="s">
        <v>358</v>
      </c>
      <c r="P1" s="8" t="s">
        <v>359</v>
      </c>
    </row>
    <row r="2" spans="1:16" x14ac:dyDescent="0.25">
      <c r="A2" t="s">
        <v>53</v>
      </c>
      <c r="B2">
        <v>5</v>
      </c>
      <c r="C2" t="s">
        <v>360</v>
      </c>
      <c r="D2">
        <v>2024</v>
      </c>
      <c r="E2" t="s">
        <v>361</v>
      </c>
      <c r="F2" s="2">
        <v>85941</v>
      </c>
      <c r="G2" s="2">
        <v>0</v>
      </c>
      <c r="I2" s="2">
        <v>15862</v>
      </c>
      <c r="J2" s="2">
        <v>15862</v>
      </c>
      <c r="K2" s="2">
        <v>15862</v>
      </c>
      <c r="L2" s="2">
        <v>15862</v>
      </c>
      <c r="O2" s="2">
        <v>14872</v>
      </c>
      <c r="P2" s="2">
        <v>30734</v>
      </c>
    </row>
    <row r="3" spans="1:16" x14ac:dyDescent="0.25">
      <c r="A3" t="s">
        <v>362</v>
      </c>
      <c r="B3">
        <v>1</v>
      </c>
      <c r="C3" t="s">
        <v>363</v>
      </c>
      <c r="D3">
        <v>2024</v>
      </c>
      <c r="E3" t="s">
        <v>364</v>
      </c>
      <c r="G3" s="2">
        <v>0</v>
      </c>
      <c r="I3" s="2">
        <v>834974</v>
      </c>
      <c r="J3" s="2">
        <v>834974</v>
      </c>
      <c r="K3" s="2">
        <v>834974</v>
      </c>
    </row>
    <row r="4" spans="1:16" x14ac:dyDescent="0.25">
      <c r="A4" t="s">
        <v>54</v>
      </c>
      <c r="B4">
        <v>1</v>
      </c>
      <c r="C4" t="s">
        <v>363</v>
      </c>
      <c r="D4">
        <v>2024</v>
      </c>
      <c r="E4" t="s">
        <v>364</v>
      </c>
      <c r="G4" s="2">
        <v>0</v>
      </c>
      <c r="I4" s="2">
        <v>448500</v>
      </c>
      <c r="J4" s="2">
        <v>448500</v>
      </c>
      <c r="K4" s="2">
        <v>448500</v>
      </c>
    </row>
    <row r="5" spans="1:16" x14ac:dyDescent="0.25">
      <c r="A5" t="s">
        <v>56</v>
      </c>
      <c r="B5">
        <v>2</v>
      </c>
      <c r="C5" t="s">
        <v>363</v>
      </c>
      <c r="D5">
        <v>2024</v>
      </c>
      <c r="E5" t="s">
        <v>365</v>
      </c>
      <c r="F5" s="2">
        <v>12000</v>
      </c>
      <c r="G5" s="2">
        <v>0</v>
      </c>
      <c r="N5" s="2">
        <v>100000</v>
      </c>
    </row>
    <row r="6" spans="1:16" x14ac:dyDescent="0.25">
      <c r="A6" t="s">
        <v>58</v>
      </c>
      <c r="B6">
        <v>1</v>
      </c>
      <c r="C6" t="s">
        <v>366</v>
      </c>
      <c r="D6">
        <v>2024</v>
      </c>
      <c r="E6" t="s">
        <v>366</v>
      </c>
      <c r="G6" s="2" t="s">
        <v>366</v>
      </c>
    </row>
    <row r="7" spans="1:16" x14ac:dyDescent="0.25">
      <c r="A7" t="s">
        <v>60</v>
      </c>
      <c r="B7">
        <v>4</v>
      </c>
      <c r="C7" t="s">
        <v>366</v>
      </c>
      <c r="D7">
        <v>2024</v>
      </c>
      <c r="E7" t="s">
        <v>366</v>
      </c>
      <c r="G7" s="2" t="s">
        <v>366</v>
      </c>
    </row>
    <row r="8" spans="1:16" x14ac:dyDescent="0.25">
      <c r="A8" t="s">
        <v>62</v>
      </c>
      <c r="B8">
        <v>1</v>
      </c>
      <c r="C8" t="s">
        <v>366</v>
      </c>
      <c r="D8">
        <v>2024</v>
      </c>
      <c r="E8" t="s">
        <v>366</v>
      </c>
      <c r="G8" s="2" t="s">
        <v>366</v>
      </c>
    </row>
    <row r="9" spans="1:16" x14ac:dyDescent="0.25">
      <c r="A9" t="s">
        <v>64</v>
      </c>
      <c r="B9">
        <v>1</v>
      </c>
      <c r="C9" t="s">
        <v>360</v>
      </c>
      <c r="D9">
        <v>2024</v>
      </c>
      <c r="E9" t="s">
        <v>361</v>
      </c>
      <c r="F9" s="2">
        <v>0</v>
      </c>
      <c r="G9" s="2">
        <v>0</v>
      </c>
      <c r="I9" s="2">
        <v>18091</v>
      </c>
      <c r="K9" s="2">
        <v>18091</v>
      </c>
      <c r="L9" s="2">
        <v>14473</v>
      </c>
      <c r="M9" s="2">
        <v>3618</v>
      </c>
    </row>
    <row r="10" spans="1:16" x14ac:dyDescent="0.25">
      <c r="A10" t="s">
        <v>11</v>
      </c>
      <c r="B10">
        <v>2</v>
      </c>
      <c r="C10" t="s">
        <v>360</v>
      </c>
      <c r="D10">
        <v>2024</v>
      </c>
      <c r="E10" t="s">
        <v>361</v>
      </c>
      <c r="F10" s="2">
        <v>0</v>
      </c>
      <c r="G10" s="2">
        <v>0</v>
      </c>
      <c r="I10" s="2">
        <v>172885</v>
      </c>
      <c r="K10" s="2">
        <v>172885</v>
      </c>
      <c r="L10" s="2">
        <v>149952</v>
      </c>
      <c r="M10" s="2">
        <v>22933</v>
      </c>
    </row>
    <row r="11" spans="1:16" x14ac:dyDescent="0.25">
      <c r="A11" t="s">
        <v>11</v>
      </c>
      <c r="B11">
        <v>2</v>
      </c>
      <c r="C11" t="s">
        <v>363</v>
      </c>
      <c r="D11">
        <v>2024</v>
      </c>
      <c r="E11" t="s">
        <v>365</v>
      </c>
      <c r="F11" s="2">
        <v>165445</v>
      </c>
      <c r="G11" s="2">
        <v>14555</v>
      </c>
      <c r="M11" s="2">
        <v>14555</v>
      </c>
    </row>
    <row r="12" spans="1:16" x14ac:dyDescent="0.25">
      <c r="A12" t="s">
        <v>67</v>
      </c>
      <c r="B12">
        <v>1</v>
      </c>
      <c r="C12" t="s">
        <v>366</v>
      </c>
      <c r="D12">
        <v>2024</v>
      </c>
      <c r="E12" t="s">
        <v>366</v>
      </c>
      <c r="F12" s="2">
        <v>5000</v>
      </c>
      <c r="G12" s="2" t="s">
        <v>366</v>
      </c>
      <c r="I12" s="2">
        <v>0</v>
      </c>
      <c r="K12" s="2">
        <v>0</v>
      </c>
    </row>
    <row r="13" spans="1:16" x14ac:dyDescent="0.25">
      <c r="A13" t="s">
        <v>69</v>
      </c>
      <c r="B13">
        <v>1</v>
      </c>
      <c r="C13" t="s">
        <v>366</v>
      </c>
      <c r="D13">
        <v>2024</v>
      </c>
      <c r="E13" t="s">
        <v>366</v>
      </c>
      <c r="G13" s="2" t="s">
        <v>366</v>
      </c>
    </row>
    <row r="14" spans="1:16" x14ac:dyDescent="0.25">
      <c r="A14" t="s">
        <v>71</v>
      </c>
      <c r="B14">
        <v>1</v>
      </c>
      <c r="C14" t="s">
        <v>366</v>
      </c>
      <c r="D14">
        <v>2024</v>
      </c>
      <c r="E14" t="s">
        <v>366</v>
      </c>
      <c r="G14" s="2" t="s">
        <v>366</v>
      </c>
    </row>
    <row r="15" spans="1:16" x14ac:dyDescent="0.25">
      <c r="A15" t="s">
        <v>73</v>
      </c>
      <c r="B15">
        <v>3</v>
      </c>
      <c r="C15" t="s">
        <v>366</v>
      </c>
      <c r="D15">
        <v>2024</v>
      </c>
      <c r="E15" t="s">
        <v>366</v>
      </c>
      <c r="G15" s="2" t="s">
        <v>366</v>
      </c>
    </row>
    <row r="16" spans="1:16" x14ac:dyDescent="0.25">
      <c r="A16" t="s">
        <v>75</v>
      </c>
      <c r="B16">
        <v>3</v>
      </c>
      <c r="C16" t="s">
        <v>366</v>
      </c>
      <c r="D16">
        <v>2024</v>
      </c>
      <c r="E16" t="s">
        <v>366</v>
      </c>
      <c r="G16" s="2" t="s">
        <v>366</v>
      </c>
    </row>
    <row r="17" spans="1:13" x14ac:dyDescent="0.25">
      <c r="A17" t="s">
        <v>77</v>
      </c>
      <c r="B17">
        <v>3</v>
      </c>
      <c r="C17" t="s">
        <v>366</v>
      </c>
      <c r="D17">
        <v>2024</v>
      </c>
      <c r="E17" t="s">
        <v>366</v>
      </c>
      <c r="G17" s="2" t="s">
        <v>366</v>
      </c>
    </row>
    <row r="18" spans="1:13" x14ac:dyDescent="0.25">
      <c r="A18" t="s">
        <v>79</v>
      </c>
      <c r="B18">
        <v>3</v>
      </c>
      <c r="C18" t="s">
        <v>367</v>
      </c>
      <c r="D18">
        <v>2024</v>
      </c>
      <c r="E18" t="s">
        <v>364</v>
      </c>
      <c r="F18" s="2">
        <v>20000</v>
      </c>
      <c r="G18" s="2">
        <v>0</v>
      </c>
      <c r="I18" s="2">
        <v>57670</v>
      </c>
      <c r="J18" s="2">
        <v>57670</v>
      </c>
      <c r="K18" s="2">
        <v>57670</v>
      </c>
    </row>
    <row r="19" spans="1:13" x14ac:dyDescent="0.25">
      <c r="A19" t="s">
        <v>81</v>
      </c>
      <c r="B19">
        <v>3</v>
      </c>
      <c r="C19" t="s">
        <v>366</v>
      </c>
      <c r="D19">
        <v>2024</v>
      </c>
      <c r="E19" t="s">
        <v>366</v>
      </c>
      <c r="G19" s="2" t="s">
        <v>366</v>
      </c>
    </row>
    <row r="20" spans="1:13" x14ac:dyDescent="0.25">
      <c r="A20" t="s">
        <v>83</v>
      </c>
      <c r="B20">
        <v>4</v>
      </c>
      <c r="C20" t="s">
        <v>366</v>
      </c>
      <c r="D20">
        <v>2024</v>
      </c>
      <c r="E20" t="s">
        <v>366</v>
      </c>
      <c r="G20" s="2" t="s">
        <v>366</v>
      </c>
    </row>
    <row r="21" spans="1:13" x14ac:dyDescent="0.25">
      <c r="A21" t="s">
        <v>85</v>
      </c>
      <c r="B21">
        <v>1</v>
      </c>
      <c r="C21" t="s">
        <v>363</v>
      </c>
      <c r="D21">
        <v>2024</v>
      </c>
      <c r="E21" t="s">
        <v>364</v>
      </c>
      <c r="F21" s="2">
        <v>23251</v>
      </c>
      <c r="G21" s="2">
        <v>9082</v>
      </c>
      <c r="H21" s="2">
        <v>112171</v>
      </c>
      <c r="I21" s="2">
        <v>210231</v>
      </c>
      <c r="J21" s="2">
        <v>210231</v>
      </c>
      <c r="K21" s="2">
        <v>210231</v>
      </c>
      <c r="L21" s="2">
        <v>7266</v>
      </c>
      <c r="M21" s="2">
        <v>1816</v>
      </c>
    </row>
    <row r="22" spans="1:13" x14ac:dyDescent="0.25">
      <c r="A22" t="s">
        <v>87</v>
      </c>
      <c r="B22">
        <v>1</v>
      </c>
      <c r="C22" t="s">
        <v>366</v>
      </c>
      <c r="D22">
        <v>2024</v>
      </c>
      <c r="E22" t="s">
        <v>366</v>
      </c>
      <c r="G22" s="2" t="s">
        <v>366</v>
      </c>
    </row>
    <row r="23" spans="1:13" x14ac:dyDescent="0.25">
      <c r="A23" t="s">
        <v>89</v>
      </c>
      <c r="B23">
        <v>1</v>
      </c>
      <c r="C23" t="s">
        <v>363</v>
      </c>
      <c r="D23">
        <v>2024</v>
      </c>
      <c r="E23" t="s">
        <v>365</v>
      </c>
      <c r="F23" s="2">
        <v>0</v>
      </c>
      <c r="G23" s="2">
        <v>17290</v>
      </c>
      <c r="I23" s="2">
        <v>17290</v>
      </c>
      <c r="K23" s="2">
        <v>17290</v>
      </c>
      <c r="L23" s="2">
        <v>17290</v>
      </c>
    </row>
    <row r="24" spans="1:13" x14ac:dyDescent="0.25">
      <c r="A24" t="s">
        <v>90</v>
      </c>
      <c r="B24">
        <v>3</v>
      </c>
      <c r="C24" t="s">
        <v>363</v>
      </c>
      <c r="D24">
        <v>2024</v>
      </c>
      <c r="E24" t="s">
        <v>365</v>
      </c>
      <c r="G24" s="2">
        <v>0</v>
      </c>
    </row>
    <row r="25" spans="1:13" x14ac:dyDescent="0.25">
      <c r="A25" t="s">
        <v>90</v>
      </c>
      <c r="B25">
        <v>3</v>
      </c>
      <c r="C25" t="s">
        <v>363</v>
      </c>
      <c r="D25">
        <v>2024</v>
      </c>
      <c r="E25" t="s">
        <v>365</v>
      </c>
      <c r="F25" s="2">
        <v>10000</v>
      </c>
      <c r="G25" s="2">
        <v>0</v>
      </c>
    </row>
    <row r="26" spans="1:13" x14ac:dyDescent="0.25">
      <c r="A26" t="s">
        <v>91</v>
      </c>
      <c r="B26">
        <v>4</v>
      </c>
      <c r="C26" t="s">
        <v>366</v>
      </c>
      <c r="D26">
        <v>2024</v>
      </c>
      <c r="E26" t="s">
        <v>366</v>
      </c>
      <c r="G26" s="2" t="s">
        <v>366</v>
      </c>
    </row>
    <row r="27" spans="1:13" x14ac:dyDescent="0.25">
      <c r="A27" t="s">
        <v>92</v>
      </c>
      <c r="B27">
        <v>4</v>
      </c>
      <c r="C27" t="s">
        <v>366</v>
      </c>
      <c r="D27">
        <v>2024</v>
      </c>
      <c r="E27" t="s">
        <v>366</v>
      </c>
      <c r="G27" s="2" t="s">
        <v>366</v>
      </c>
    </row>
    <row r="28" spans="1:13" x14ac:dyDescent="0.25">
      <c r="A28" t="s">
        <v>93</v>
      </c>
      <c r="B28">
        <v>1</v>
      </c>
      <c r="C28" t="s">
        <v>366</v>
      </c>
      <c r="D28">
        <v>2024</v>
      </c>
      <c r="E28" t="s">
        <v>366</v>
      </c>
      <c r="G28" s="2" t="s">
        <v>366</v>
      </c>
    </row>
    <row r="29" spans="1:13" x14ac:dyDescent="0.25">
      <c r="A29" t="s">
        <v>94</v>
      </c>
      <c r="B29">
        <v>5</v>
      </c>
      <c r="C29" t="s">
        <v>363</v>
      </c>
      <c r="D29">
        <v>2024</v>
      </c>
      <c r="E29" t="s">
        <v>364</v>
      </c>
      <c r="F29" s="2">
        <v>0</v>
      </c>
      <c r="G29" s="2">
        <v>0</v>
      </c>
      <c r="I29" s="2">
        <v>3000000</v>
      </c>
      <c r="J29" s="2">
        <v>3000000</v>
      </c>
      <c r="K29" s="2">
        <v>3000000</v>
      </c>
    </row>
    <row r="30" spans="1:13" x14ac:dyDescent="0.25">
      <c r="A30" t="s">
        <v>94</v>
      </c>
      <c r="B30">
        <v>5</v>
      </c>
      <c r="C30" t="s">
        <v>367</v>
      </c>
      <c r="D30">
        <v>2024</v>
      </c>
      <c r="E30" t="s">
        <v>365</v>
      </c>
      <c r="F30" s="2">
        <v>10000</v>
      </c>
    </row>
    <row r="31" spans="1:13" x14ac:dyDescent="0.25">
      <c r="A31" t="s">
        <v>95</v>
      </c>
      <c r="B31">
        <v>4</v>
      </c>
      <c r="C31" t="s">
        <v>368</v>
      </c>
      <c r="D31">
        <v>2024</v>
      </c>
      <c r="E31" t="s">
        <v>361</v>
      </c>
      <c r="F31" s="2">
        <v>9195</v>
      </c>
      <c r="G31" s="2">
        <v>0</v>
      </c>
      <c r="I31" s="2">
        <v>82755</v>
      </c>
      <c r="K31" s="2">
        <v>82755</v>
      </c>
    </row>
    <row r="32" spans="1:13" x14ac:dyDescent="0.25">
      <c r="A32" t="s">
        <v>95</v>
      </c>
      <c r="B32">
        <v>4</v>
      </c>
      <c r="C32" t="s">
        <v>363</v>
      </c>
      <c r="D32">
        <v>2024</v>
      </c>
      <c r="E32" t="s">
        <v>364</v>
      </c>
      <c r="G32" s="2">
        <v>79885</v>
      </c>
      <c r="I32" s="2">
        <v>1499034</v>
      </c>
      <c r="J32" s="2">
        <v>1499034</v>
      </c>
      <c r="K32" s="2">
        <v>1499034</v>
      </c>
    </row>
    <row r="33" spans="1:14" x14ac:dyDescent="0.25">
      <c r="A33" t="s">
        <v>95</v>
      </c>
      <c r="B33">
        <v>4</v>
      </c>
      <c r="C33" t="s">
        <v>363</v>
      </c>
      <c r="D33">
        <v>2024</v>
      </c>
      <c r="E33" t="s">
        <v>365</v>
      </c>
      <c r="G33" s="2">
        <v>7142</v>
      </c>
    </row>
    <row r="34" spans="1:14" x14ac:dyDescent="0.25">
      <c r="A34" t="s">
        <v>95</v>
      </c>
      <c r="B34">
        <v>4</v>
      </c>
      <c r="C34" t="s">
        <v>367</v>
      </c>
      <c r="D34">
        <v>2024</v>
      </c>
      <c r="E34" t="s">
        <v>365</v>
      </c>
      <c r="G34" s="2">
        <v>2500</v>
      </c>
    </row>
    <row r="35" spans="1:14" x14ac:dyDescent="0.25">
      <c r="A35" t="s">
        <v>96</v>
      </c>
      <c r="B35">
        <v>1</v>
      </c>
      <c r="C35" t="s">
        <v>366</v>
      </c>
      <c r="D35">
        <v>2024</v>
      </c>
      <c r="E35" t="s">
        <v>366</v>
      </c>
      <c r="G35" s="2" t="s">
        <v>366</v>
      </c>
    </row>
    <row r="36" spans="1:14" x14ac:dyDescent="0.25">
      <c r="A36" t="s">
        <v>97</v>
      </c>
      <c r="B36">
        <v>4</v>
      </c>
      <c r="C36" t="s">
        <v>363</v>
      </c>
      <c r="D36">
        <v>2024</v>
      </c>
      <c r="E36" t="s">
        <v>365</v>
      </c>
      <c r="G36" s="2">
        <v>30400</v>
      </c>
    </row>
    <row r="37" spans="1:14" x14ac:dyDescent="0.25">
      <c r="A37" t="s">
        <v>98</v>
      </c>
      <c r="B37">
        <v>1</v>
      </c>
      <c r="C37" t="s">
        <v>366</v>
      </c>
      <c r="D37">
        <v>2024</v>
      </c>
      <c r="E37" t="s">
        <v>366</v>
      </c>
      <c r="G37" s="2" t="s">
        <v>366</v>
      </c>
    </row>
    <row r="38" spans="1:14" x14ac:dyDescent="0.25">
      <c r="A38" t="s">
        <v>99</v>
      </c>
      <c r="B38">
        <v>3</v>
      </c>
      <c r="C38" t="s">
        <v>366</v>
      </c>
      <c r="D38">
        <v>2024</v>
      </c>
      <c r="E38" t="s">
        <v>366</v>
      </c>
      <c r="G38" s="2" t="s">
        <v>366</v>
      </c>
    </row>
    <row r="39" spans="1:14" x14ac:dyDescent="0.25">
      <c r="A39" t="s">
        <v>100</v>
      </c>
      <c r="B39">
        <v>1</v>
      </c>
      <c r="C39" t="s">
        <v>363</v>
      </c>
      <c r="D39">
        <v>2024</v>
      </c>
      <c r="E39" t="s">
        <v>364</v>
      </c>
      <c r="G39" s="2">
        <v>0</v>
      </c>
      <c r="I39" s="2">
        <v>253382</v>
      </c>
      <c r="J39" s="2">
        <v>253382</v>
      </c>
      <c r="K39" s="2">
        <v>253382</v>
      </c>
    </row>
    <row r="40" spans="1:14" x14ac:dyDescent="0.25">
      <c r="A40" t="s">
        <v>101</v>
      </c>
      <c r="B40">
        <v>4</v>
      </c>
      <c r="C40" t="s">
        <v>366</v>
      </c>
      <c r="D40">
        <v>2024</v>
      </c>
      <c r="E40" t="s">
        <v>366</v>
      </c>
      <c r="G40" s="2" t="s">
        <v>366</v>
      </c>
    </row>
    <row r="41" spans="1:14" x14ac:dyDescent="0.25">
      <c r="A41" t="s">
        <v>102</v>
      </c>
      <c r="B41">
        <v>3</v>
      </c>
      <c r="C41" t="s">
        <v>366</v>
      </c>
      <c r="D41">
        <v>2024</v>
      </c>
      <c r="E41" t="s">
        <v>366</v>
      </c>
      <c r="G41" s="2" t="s">
        <v>366</v>
      </c>
    </row>
    <row r="42" spans="1:14" x14ac:dyDescent="0.25">
      <c r="A42" t="s">
        <v>103</v>
      </c>
      <c r="B42">
        <v>3</v>
      </c>
      <c r="C42" t="s">
        <v>366</v>
      </c>
      <c r="D42">
        <v>2024</v>
      </c>
      <c r="E42" t="s">
        <v>366</v>
      </c>
      <c r="G42" s="2" t="s">
        <v>366</v>
      </c>
    </row>
    <row r="43" spans="1:14" x14ac:dyDescent="0.25">
      <c r="A43" t="s">
        <v>104</v>
      </c>
      <c r="B43">
        <v>4</v>
      </c>
      <c r="C43" t="s">
        <v>366</v>
      </c>
      <c r="D43">
        <v>2024</v>
      </c>
      <c r="E43" t="s">
        <v>366</v>
      </c>
      <c r="G43" s="2" t="s">
        <v>366</v>
      </c>
    </row>
    <row r="44" spans="1:14" x14ac:dyDescent="0.25">
      <c r="A44" t="s">
        <v>105</v>
      </c>
      <c r="B44">
        <v>4</v>
      </c>
      <c r="C44" t="s">
        <v>366</v>
      </c>
      <c r="D44">
        <v>2024</v>
      </c>
      <c r="E44" t="s">
        <v>366</v>
      </c>
      <c r="G44" s="2" t="s">
        <v>366</v>
      </c>
    </row>
    <row r="45" spans="1:14" x14ac:dyDescent="0.25">
      <c r="A45" t="s">
        <v>106</v>
      </c>
      <c r="B45">
        <v>5</v>
      </c>
      <c r="C45" t="s">
        <v>366</v>
      </c>
      <c r="D45">
        <v>2024</v>
      </c>
      <c r="E45" t="s">
        <v>366</v>
      </c>
      <c r="G45" s="2" t="s">
        <v>366</v>
      </c>
    </row>
    <row r="46" spans="1:14" x14ac:dyDescent="0.25">
      <c r="A46" t="s">
        <v>107</v>
      </c>
      <c r="B46">
        <v>2</v>
      </c>
      <c r="C46" t="s">
        <v>366</v>
      </c>
      <c r="D46">
        <v>2024</v>
      </c>
      <c r="E46" t="s">
        <v>366</v>
      </c>
      <c r="G46" s="2" t="s">
        <v>366</v>
      </c>
    </row>
    <row r="47" spans="1:14" x14ac:dyDescent="0.25">
      <c r="A47" t="s">
        <v>36</v>
      </c>
      <c r="B47">
        <v>2</v>
      </c>
      <c r="C47" t="s">
        <v>363</v>
      </c>
      <c r="D47">
        <v>2024</v>
      </c>
      <c r="E47" t="s">
        <v>364</v>
      </c>
      <c r="F47" s="2">
        <v>0</v>
      </c>
      <c r="G47" s="2">
        <v>1010000</v>
      </c>
      <c r="I47" s="2">
        <v>2588493</v>
      </c>
      <c r="J47" s="2">
        <v>2588493</v>
      </c>
      <c r="K47" s="2">
        <v>2588493</v>
      </c>
      <c r="L47" s="2">
        <v>808053</v>
      </c>
      <c r="M47" s="2">
        <v>201947</v>
      </c>
      <c r="N47" s="2">
        <v>1509958</v>
      </c>
    </row>
    <row r="48" spans="1:14" x14ac:dyDescent="0.25">
      <c r="A48" t="s">
        <v>108</v>
      </c>
      <c r="B48">
        <v>2</v>
      </c>
      <c r="C48" t="s">
        <v>366</v>
      </c>
      <c r="D48">
        <v>2024</v>
      </c>
      <c r="E48" t="s">
        <v>366</v>
      </c>
      <c r="G48" s="2" t="s">
        <v>366</v>
      </c>
    </row>
    <row r="49" spans="1:13" x14ac:dyDescent="0.25">
      <c r="A49" t="s">
        <v>109</v>
      </c>
      <c r="B49">
        <v>1</v>
      </c>
      <c r="C49" t="s">
        <v>366</v>
      </c>
      <c r="D49">
        <v>2024</v>
      </c>
      <c r="E49" t="s">
        <v>366</v>
      </c>
      <c r="G49" s="2" t="s">
        <v>366</v>
      </c>
    </row>
    <row r="50" spans="1:13" x14ac:dyDescent="0.25">
      <c r="A50" t="s">
        <v>110</v>
      </c>
      <c r="B50">
        <v>3</v>
      </c>
      <c r="C50" t="s">
        <v>363</v>
      </c>
      <c r="D50">
        <v>2024</v>
      </c>
      <c r="E50" t="s">
        <v>365</v>
      </c>
      <c r="F50" s="2">
        <v>46449</v>
      </c>
      <c r="G50" s="2">
        <v>24756</v>
      </c>
      <c r="L50" s="2">
        <v>19805</v>
      </c>
      <c r="M50" s="2">
        <v>4951</v>
      </c>
    </row>
    <row r="51" spans="1:13" x14ac:dyDescent="0.25">
      <c r="A51" t="s">
        <v>111</v>
      </c>
      <c r="B51">
        <v>1</v>
      </c>
      <c r="C51" t="s">
        <v>366</v>
      </c>
      <c r="D51">
        <v>2024</v>
      </c>
      <c r="E51" t="s">
        <v>366</v>
      </c>
      <c r="G51" s="2" t="s">
        <v>366</v>
      </c>
    </row>
    <row r="52" spans="1:13" x14ac:dyDescent="0.25">
      <c r="A52" t="s">
        <v>112</v>
      </c>
      <c r="B52">
        <v>5</v>
      </c>
      <c r="C52" t="s">
        <v>366</v>
      </c>
      <c r="D52">
        <v>2024</v>
      </c>
      <c r="E52" t="s">
        <v>366</v>
      </c>
      <c r="G52" s="2" t="s">
        <v>366</v>
      </c>
    </row>
    <row r="53" spans="1:13" x14ac:dyDescent="0.25">
      <c r="A53" t="s">
        <v>113</v>
      </c>
      <c r="B53">
        <v>3</v>
      </c>
      <c r="C53" t="s">
        <v>366</v>
      </c>
      <c r="D53">
        <v>2024</v>
      </c>
      <c r="E53" t="s">
        <v>366</v>
      </c>
      <c r="G53" s="2" t="s">
        <v>366</v>
      </c>
    </row>
    <row r="54" spans="1:13" x14ac:dyDescent="0.25">
      <c r="A54" t="s">
        <v>114</v>
      </c>
      <c r="B54">
        <v>1</v>
      </c>
      <c r="C54" t="s">
        <v>366</v>
      </c>
      <c r="D54">
        <v>2024</v>
      </c>
      <c r="E54" t="s">
        <v>366</v>
      </c>
      <c r="G54" s="2" t="s">
        <v>366</v>
      </c>
    </row>
    <row r="55" spans="1:13" x14ac:dyDescent="0.25">
      <c r="A55" t="s">
        <v>115</v>
      </c>
      <c r="B55">
        <v>1</v>
      </c>
      <c r="C55" t="s">
        <v>363</v>
      </c>
      <c r="D55">
        <v>2024</v>
      </c>
      <c r="E55" t="s">
        <v>365</v>
      </c>
      <c r="F55" s="2">
        <v>0</v>
      </c>
      <c r="G55" s="2">
        <v>37050</v>
      </c>
      <c r="I55" s="2">
        <v>37050</v>
      </c>
      <c r="K55" s="2">
        <v>37050</v>
      </c>
      <c r="L55" s="2">
        <v>37050</v>
      </c>
    </row>
    <row r="56" spans="1:13" x14ac:dyDescent="0.25">
      <c r="A56" t="s">
        <v>116</v>
      </c>
      <c r="B56">
        <v>3</v>
      </c>
      <c r="C56" t="s">
        <v>360</v>
      </c>
      <c r="D56">
        <v>2024</v>
      </c>
      <c r="E56" t="s">
        <v>361</v>
      </c>
      <c r="F56" s="2">
        <v>23112</v>
      </c>
      <c r="G56" s="2">
        <v>0</v>
      </c>
      <c r="I56" s="2">
        <v>18908</v>
      </c>
      <c r="J56" s="2">
        <v>18908</v>
      </c>
      <c r="K56" s="2">
        <v>18908</v>
      </c>
      <c r="L56" s="2">
        <v>15126</v>
      </c>
      <c r="M56" s="2">
        <v>3782</v>
      </c>
    </row>
    <row r="57" spans="1:13" x14ac:dyDescent="0.25">
      <c r="A57" t="s">
        <v>116</v>
      </c>
      <c r="B57">
        <v>3</v>
      </c>
      <c r="C57" t="s">
        <v>360</v>
      </c>
      <c r="D57">
        <v>2024</v>
      </c>
      <c r="E57" t="s">
        <v>361</v>
      </c>
      <c r="G57" s="2">
        <v>0</v>
      </c>
    </row>
    <row r="58" spans="1:13" x14ac:dyDescent="0.25">
      <c r="A58" t="s">
        <v>116</v>
      </c>
      <c r="B58">
        <v>3</v>
      </c>
      <c r="C58" t="s">
        <v>363</v>
      </c>
      <c r="D58">
        <v>2024</v>
      </c>
      <c r="E58" t="s">
        <v>365</v>
      </c>
      <c r="F58" s="2">
        <v>10000</v>
      </c>
      <c r="G58" s="2">
        <v>0</v>
      </c>
    </row>
    <row r="59" spans="1:13" x14ac:dyDescent="0.25">
      <c r="A59" t="s">
        <v>117</v>
      </c>
      <c r="B59">
        <v>3</v>
      </c>
      <c r="C59" t="s">
        <v>363</v>
      </c>
      <c r="D59">
        <v>2024</v>
      </c>
      <c r="E59" t="s">
        <v>365</v>
      </c>
      <c r="F59" s="2">
        <v>104388</v>
      </c>
      <c r="G59" s="2">
        <v>55633</v>
      </c>
      <c r="I59" s="2">
        <v>160021</v>
      </c>
      <c r="K59" s="2">
        <v>160021</v>
      </c>
      <c r="L59" s="2">
        <v>44507</v>
      </c>
      <c r="M59" s="2">
        <v>11126</v>
      </c>
    </row>
    <row r="60" spans="1:13" x14ac:dyDescent="0.25">
      <c r="A60" t="s">
        <v>118</v>
      </c>
      <c r="B60">
        <v>5</v>
      </c>
      <c r="C60" t="s">
        <v>366</v>
      </c>
      <c r="D60">
        <v>2024</v>
      </c>
      <c r="E60" t="s">
        <v>366</v>
      </c>
      <c r="G60" s="2" t="s">
        <v>366</v>
      </c>
    </row>
    <row r="61" spans="1:13" x14ac:dyDescent="0.25">
      <c r="A61" t="s">
        <v>119</v>
      </c>
      <c r="B61">
        <v>4</v>
      </c>
      <c r="C61" t="s">
        <v>366</v>
      </c>
      <c r="D61">
        <v>2024</v>
      </c>
      <c r="E61" t="s">
        <v>366</v>
      </c>
      <c r="G61" s="2" t="s">
        <v>366</v>
      </c>
    </row>
    <row r="62" spans="1:13" x14ac:dyDescent="0.25">
      <c r="A62" t="s">
        <v>120</v>
      </c>
      <c r="B62">
        <v>3</v>
      </c>
      <c r="C62" t="s">
        <v>363</v>
      </c>
      <c r="D62">
        <v>2024</v>
      </c>
      <c r="E62" t="s">
        <v>364</v>
      </c>
      <c r="G62" s="2">
        <v>0</v>
      </c>
    </row>
    <row r="63" spans="1:13" x14ac:dyDescent="0.25">
      <c r="A63" t="s">
        <v>120</v>
      </c>
      <c r="B63">
        <v>3</v>
      </c>
      <c r="C63" t="s">
        <v>363</v>
      </c>
      <c r="D63">
        <v>2024</v>
      </c>
      <c r="E63" t="s">
        <v>364</v>
      </c>
      <c r="F63" s="2">
        <v>10000</v>
      </c>
      <c r="G63" s="2">
        <v>0</v>
      </c>
      <c r="I63" s="2">
        <v>260199</v>
      </c>
      <c r="J63" s="2">
        <v>260199</v>
      </c>
      <c r="K63" s="2">
        <v>260199</v>
      </c>
    </row>
    <row r="64" spans="1:13" x14ac:dyDescent="0.25">
      <c r="A64" t="s">
        <v>121</v>
      </c>
      <c r="B64">
        <v>1</v>
      </c>
      <c r="C64" t="s">
        <v>366</v>
      </c>
      <c r="D64">
        <v>2024</v>
      </c>
      <c r="E64" t="s">
        <v>366</v>
      </c>
      <c r="G64" s="2" t="s">
        <v>366</v>
      </c>
    </row>
    <row r="65" spans="1:14" x14ac:dyDescent="0.25">
      <c r="A65" t="s">
        <v>122</v>
      </c>
      <c r="B65">
        <v>4</v>
      </c>
      <c r="C65" t="s">
        <v>366</v>
      </c>
      <c r="D65">
        <v>2024</v>
      </c>
      <c r="E65" t="s">
        <v>366</v>
      </c>
      <c r="G65" s="2" t="s">
        <v>366</v>
      </c>
    </row>
    <row r="66" spans="1:14" x14ac:dyDescent="0.25">
      <c r="A66" t="s">
        <v>123</v>
      </c>
      <c r="B66">
        <v>3</v>
      </c>
      <c r="C66" t="s">
        <v>367</v>
      </c>
      <c r="D66">
        <v>2024</v>
      </c>
      <c r="E66" t="s">
        <v>365</v>
      </c>
      <c r="F66" s="2">
        <v>20000</v>
      </c>
      <c r="G66" s="2" t="s">
        <v>366</v>
      </c>
    </row>
    <row r="67" spans="1:14" x14ac:dyDescent="0.25">
      <c r="A67" t="s">
        <v>124</v>
      </c>
      <c r="B67">
        <v>5</v>
      </c>
      <c r="C67" t="s">
        <v>360</v>
      </c>
      <c r="D67">
        <v>2024</v>
      </c>
      <c r="E67" t="s">
        <v>361</v>
      </c>
      <c r="F67" s="2">
        <v>445546</v>
      </c>
      <c r="G67" s="2">
        <v>0</v>
      </c>
      <c r="I67" s="2">
        <v>60226</v>
      </c>
      <c r="J67" s="2">
        <v>60226</v>
      </c>
      <c r="K67" s="2">
        <v>60226</v>
      </c>
      <c r="L67" s="2">
        <v>60226</v>
      </c>
    </row>
    <row r="68" spans="1:14" x14ac:dyDescent="0.25">
      <c r="A68" t="s">
        <v>125</v>
      </c>
      <c r="B68">
        <v>4</v>
      </c>
      <c r="C68" t="s">
        <v>363</v>
      </c>
      <c r="D68">
        <v>2024</v>
      </c>
      <c r="E68" t="s">
        <v>364</v>
      </c>
      <c r="G68" s="2">
        <v>7142</v>
      </c>
    </row>
    <row r="69" spans="1:14" x14ac:dyDescent="0.25">
      <c r="A69" t="s">
        <v>125</v>
      </c>
      <c r="B69">
        <v>4</v>
      </c>
      <c r="C69" t="s">
        <v>367</v>
      </c>
      <c r="D69">
        <v>2024</v>
      </c>
      <c r="E69" t="s">
        <v>365</v>
      </c>
      <c r="G69" s="2">
        <v>2500</v>
      </c>
    </row>
    <row r="70" spans="1:14" x14ac:dyDescent="0.25">
      <c r="A70" t="s">
        <v>126</v>
      </c>
      <c r="B70">
        <v>1</v>
      </c>
      <c r="C70" t="s">
        <v>363</v>
      </c>
      <c r="D70">
        <v>2024</v>
      </c>
      <c r="E70" t="s">
        <v>365</v>
      </c>
      <c r="F70" s="2">
        <v>0</v>
      </c>
      <c r="G70" s="2">
        <v>39264</v>
      </c>
    </row>
    <row r="71" spans="1:14" x14ac:dyDescent="0.25">
      <c r="A71" t="s">
        <v>126</v>
      </c>
      <c r="B71">
        <v>1</v>
      </c>
      <c r="C71" t="s">
        <v>363</v>
      </c>
      <c r="D71">
        <v>2024</v>
      </c>
      <c r="E71" t="s">
        <v>365</v>
      </c>
      <c r="G71" s="2">
        <v>19632</v>
      </c>
    </row>
    <row r="72" spans="1:14" x14ac:dyDescent="0.25">
      <c r="A72" t="s">
        <v>127</v>
      </c>
      <c r="B72">
        <v>4</v>
      </c>
      <c r="C72" t="s">
        <v>360</v>
      </c>
      <c r="D72">
        <v>2024</v>
      </c>
      <c r="E72" t="s">
        <v>361</v>
      </c>
      <c r="F72" s="2">
        <v>0</v>
      </c>
      <c r="G72" s="2">
        <v>0</v>
      </c>
      <c r="I72" s="2">
        <v>70200</v>
      </c>
      <c r="J72" s="2">
        <v>70200</v>
      </c>
      <c r="K72" s="2">
        <v>70200</v>
      </c>
      <c r="L72" s="2">
        <v>70200</v>
      </c>
    </row>
    <row r="73" spans="1:14" x14ac:dyDescent="0.25">
      <c r="A73" t="s">
        <v>127</v>
      </c>
      <c r="B73">
        <v>4</v>
      </c>
      <c r="C73" t="s">
        <v>363</v>
      </c>
      <c r="D73">
        <v>2024</v>
      </c>
      <c r="E73" t="s">
        <v>364</v>
      </c>
      <c r="I73" s="2">
        <v>712019</v>
      </c>
      <c r="J73" s="2">
        <v>712019</v>
      </c>
      <c r="K73" s="2">
        <v>712019</v>
      </c>
      <c r="N73" s="2">
        <v>26244</v>
      </c>
    </row>
    <row r="74" spans="1:14" x14ac:dyDescent="0.25">
      <c r="A74" t="s">
        <v>127</v>
      </c>
      <c r="B74">
        <v>4</v>
      </c>
      <c r="C74" t="s">
        <v>367</v>
      </c>
      <c r="D74">
        <v>2024</v>
      </c>
      <c r="E74" t="s">
        <v>364</v>
      </c>
      <c r="G74" s="2">
        <v>2500</v>
      </c>
      <c r="I74" s="2">
        <v>90000</v>
      </c>
      <c r="J74" s="2">
        <v>90000</v>
      </c>
      <c r="K74" s="2">
        <v>90000</v>
      </c>
    </row>
    <row r="75" spans="1:14" x14ac:dyDescent="0.25">
      <c r="A75" t="s">
        <v>128</v>
      </c>
      <c r="B75">
        <v>3</v>
      </c>
      <c r="C75" t="s">
        <v>366</v>
      </c>
      <c r="D75">
        <v>2024</v>
      </c>
      <c r="E75" t="s">
        <v>366</v>
      </c>
      <c r="F75" s="2">
        <v>10000</v>
      </c>
      <c r="G75" s="2" t="s">
        <v>366</v>
      </c>
    </row>
    <row r="76" spans="1:14" x14ac:dyDescent="0.25">
      <c r="A76" t="s">
        <v>129</v>
      </c>
      <c r="B76">
        <v>1</v>
      </c>
      <c r="C76" t="s">
        <v>366</v>
      </c>
      <c r="D76">
        <v>2024</v>
      </c>
      <c r="E76" t="s">
        <v>366</v>
      </c>
      <c r="G76" s="2" t="s">
        <v>366</v>
      </c>
    </row>
    <row r="77" spans="1:14" x14ac:dyDescent="0.25">
      <c r="A77" t="s">
        <v>130</v>
      </c>
      <c r="B77">
        <v>4</v>
      </c>
      <c r="C77" t="s">
        <v>366</v>
      </c>
      <c r="D77">
        <v>2024</v>
      </c>
      <c r="E77" t="s">
        <v>366</v>
      </c>
      <c r="G77" s="2" t="s">
        <v>366</v>
      </c>
    </row>
    <row r="78" spans="1:14" x14ac:dyDescent="0.25">
      <c r="A78" t="s">
        <v>131</v>
      </c>
      <c r="B78">
        <v>5</v>
      </c>
      <c r="C78" t="s">
        <v>366</v>
      </c>
      <c r="D78">
        <v>2024</v>
      </c>
      <c r="E78" t="s">
        <v>366</v>
      </c>
      <c r="G78" s="2" t="s">
        <v>366</v>
      </c>
    </row>
    <row r="79" spans="1:14" x14ac:dyDescent="0.25">
      <c r="A79" t="s">
        <v>132</v>
      </c>
      <c r="B79">
        <v>5</v>
      </c>
      <c r="C79" t="s">
        <v>366</v>
      </c>
      <c r="D79">
        <v>2024</v>
      </c>
      <c r="E79" t="s">
        <v>366</v>
      </c>
      <c r="G79" s="2" t="s">
        <v>366</v>
      </c>
    </row>
    <row r="80" spans="1:14" x14ac:dyDescent="0.25">
      <c r="A80" t="s">
        <v>133</v>
      </c>
      <c r="B80">
        <v>5</v>
      </c>
      <c r="C80" t="s">
        <v>366</v>
      </c>
      <c r="D80">
        <v>2024</v>
      </c>
      <c r="E80" t="s">
        <v>366</v>
      </c>
      <c r="G80" s="2" t="s">
        <v>366</v>
      </c>
    </row>
    <row r="81" spans="1:14" x14ac:dyDescent="0.25">
      <c r="A81" t="s">
        <v>134</v>
      </c>
      <c r="B81">
        <v>1</v>
      </c>
      <c r="C81" t="s">
        <v>363</v>
      </c>
      <c r="D81">
        <v>2024</v>
      </c>
      <c r="E81" t="s">
        <v>365</v>
      </c>
      <c r="G81" s="2">
        <v>22230</v>
      </c>
      <c r="I81" s="2">
        <v>22230</v>
      </c>
      <c r="K81" s="2">
        <v>22230</v>
      </c>
      <c r="L81" s="2">
        <v>22230</v>
      </c>
    </row>
    <row r="82" spans="1:14" x14ac:dyDescent="0.25">
      <c r="A82" t="s">
        <v>135</v>
      </c>
      <c r="B82">
        <v>5</v>
      </c>
      <c r="C82" t="s">
        <v>366</v>
      </c>
      <c r="D82">
        <v>2024</v>
      </c>
      <c r="E82" t="s">
        <v>366</v>
      </c>
      <c r="G82" s="2" t="s">
        <v>366</v>
      </c>
    </row>
    <row r="83" spans="1:14" x14ac:dyDescent="0.25">
      <c r="A83" t="s">
        <v>136</v>
      </c>
      <c r="B83">
        <v>5</v>
      </c>
      <c r="C83" t="s">
        <v>366</v>
      </c>
      <c r="D83">
        <v>2024</v>
      </c>
      <c r="E83" t="s">
        <v>366</v>
      </c>
      <c r="G83" s="2" t="s">
        <v>366</v>
      </c>
    </row>
    <row r="84" spans="1:14" x14ac:dyDescent="0.25">
      <c r="A84" t="s">
        <v>137</v>
      </c>
      <c r="B84">
        <v>3</v>
      </c>
      <c r="C84" t="s">
        <v>363</v>
      </c>
      <c r="D84">
        <v>2024</v>
      </c>
      <c r="E84" t="s">
        <v>365</v>
      </c>
      <c r="G84" s="2">
        <v>13542</v>
      </c>
      <c r="I84" s="2">
        <v>13542</v>
      </c>
      <c r="K84" s="2">
        <v>13542</v>
      </c>
      <c r="L84" s="2">
        <v>13542</v>
      </c>
    </row>
    <row r="85" spans="1:14" x14ac:dyDescent="0.25">
      <c r="A85" t="s">
        <v>138</v>
      </c>
      <c r="B85">
        <v>1</v>
      </c>
      <c r="C85" t="s">
        <v>363</v>
      </c>
      <c r="D85">
        <v>2024</v>
      </c>
      <c r="E85" t="s">
        <v>365</v>
      </c>
      <c r="F85" s="2">
        <v>0</v>
      </c>
      <c r="G85" s="2">
        <v>10829</v>
      </c>
      <c r="I85" s="2">
        <v>0</v>
      </c>
      <c r="K85" s="2">
        <v>0</v>
      </c>
      <c r="L85" s="2">
        <v>8663</v>
      </c>
      <c r="M85" s="2">
        <v>2166</v>
      </c>
    </row>
    <row r="86" spans="1:14" x14ac:dyDescent="0.25">
      <c r="A86" t="s">
        <v>139</v>
      </c>
      <c r="B86">
        <v>2</v>
      </c>
      <c r="C86" t="s">
        <v>363</v>
      </c>
      <c r="D86">
        <v>2024</v>
      </c>
      <c r="E86" t="s">
        <v>365</v>
      </c>
      <c r="G86" s="2">
        <v>0</v>
      </c>
      <c r="N86" s="2">
        <v>340000</v>
      </c>
    </row>
    <row r="87" spans="1:14" x14ac:dyDescent="0.25">
      <c r="A87" t="s">
        <v>140</v>
      </c>
      <c r="B87">
        <v>1</v>
      </c>
      <c r="C87" t="s">
        <v>360</v>
      </c>
      <c r="D87">
        <v>2024</v>
      </c>
      <c r="E87" t="s">
        <v>361</v>
      </c>
      <c r="F87" s="2">
        <v>109189</v>
      </c>
      <c r="G87" s="2">
        <v>0</v>
      </c>
      <c r="I87" s="2">
        <v>61075</v>
      </c>
      <c r="J87" s="2">
        <v>61075</v>
      </c>
      <c r="K87" s="2">
        <v>61075</v>
      </c>
      <c r="L87" s="2">
        <v>48860</v>
      </c>
      <c r="M87" s="2">
        <v>12215</v>
      </c>
    </row>
    <row r="88" spans="1:14" x14ac:dyDescent="0.25">
      <c r="A88" t="s">
        <v>141</v>
      </c>
      <c r="B88">
        <v>4</v>
      </c>
      <c r="C88" t="s">
        <v>366</v>
      </c>
      <c r="D88">
        <v>2024</v>
      </c>
      <c r="E88" t="s">
        <v>366</v>
      </c>
      <c r="G88" s="2" t="s">
        <v>366</v>
      </c>
    </row>
    <row r="89" spans="1:14" x14ac:dyDescent="0.25">
      <c r="A89" t="s">
        <v>142</v>
      </c>
      <c r="B89">
        <v>1</v>
      </c>
      <c r="C89" t="s">
        <v>363</v>
      </c>
      <c r="D89">
        <v>2024</v>
      </c>
      <c r="E89" t="s">
        <v>364</v>
      </c>
      <c r="G89" s="2">
        <v>0</v>
      </c>
      <c r="I89" s="2">
        <v>1946372</v>
      </c>
      <c r="J89" s="2">
        <v>1946372</v>
      </c>
      <c r="K89" s="2">
        <v>1946372</v>
      </c>
      <c r="N89" s="2">
        <v>834160</v>
      </c>
    </row>
    <row r="90" spans="1:14" x14ac:dyDescent="0.25">
      <c r="A90" t="s">
        <v>143</v>
      </c>
      <c r="B90">
        <v>1</v>
      </c>
      <c r="C90" t="s">
        <v>366</v>
      </c>
      <c r="D90">
        <v>2024</v>
      </c>
      <c r="E90" t="s">
        <v>366</v>
      </c>
      <c r="G90" s="2" t="s">
        <v>366</v>
      </c>
    </row>
    <row r="91" spans="1:14" x14ac:dyDescent="0.25">
      <c r="A91" t="s">
        <v>144</v>
      </c>
      <c r="B91">
        <v>2</v>
      </c>
      <c r="C91" t="s">
        <v>366</v>
      </c>
      <c r="D91">
        <v>2024</v>
      </c>
      <c r="E91" t="s">
        <v>366</v>
      </c>
      <c r="G91" s="2" t="s">
        <v>366</v>
      </c>
    </row>
    <row r="92" spans="1:14" x14ac:dyDescent="0.25">
      <c r="A92" t="s">
        <v>145</v>
      </c>
      <c r="B92">
        <v>2</v>
      </c>
      <c r="C92" t="s">
        <v>363</v>
      </c>
      <c r="D92">
        <v>2024</v>
      </c>
      <c r="E92" t="s">
        <v>365</v>
      </c>
      <c r="G92" s="2">
        <v>2000</v>
      </c>
    </row>
    <row r="93" spans="1:14" x14ac:dyDescent="0.25">
      <c r="A93" t="s">
        <v>146</v>
      </c>
      <c r="B93">
        <v>3</v>
      </c>
      <c r="C93" t="s">
        <v>367</v>
      </c>
      <c r="D93">
        <v>2024</v>
      </c>
      <c r="E93" t="s">
        <v>364</v>
      </c>
      <c r="F93" s="2">
        <v>10000</v>
      </c>
      <c r="G93" s="2">
        <v>0</v>
      </c>
    </row>
    <row r="94" spans="1:14" x14ac:dyDescent="0.25">
      <c r="A94" t="s">
        <v>147</v>
      </c>
      <c r="B94">
        <v>5</v>
      </c>
      <c r="C94" t="s">
        <v>366</v>
      </c>
      <c r="D94">
        <v>2024</v>
      </c>
      <c r="E94" t="s">
        <v>366</v>
      </c>
      <c r="G94" s="2" t="s">
        <v>366</v>
      </c>
    </row>
    <row r="95" spans="1:14" x14ac:dyDescent="0.25">
      <c r="A95" t="s">
        <v>148</v>
      </c>
      <c r="B95">
        <v>3</v>
      </c>
      <c r="C95" t="s">
        <v>367</v>
      </c>
      <c r="D95">
        <v>2024</v>
      </c>
      <c r="E95" t="s">
        <v>365</v>
      </c>
      <c r="F95" s="2">
        <v>20000</v>
      </c>
      <c r="G95" s="2" t="s">
        <v>366</v>
      </c>
    </row>
    <row r="96" spans="1:14" x14ac:dyDescent="0.25">
      <c r="A96" t="s">
        <v>149</v>
      </c>
      <c r="B96">
        <v>5</v>
      </c>
      <c r="C96" t="s">
        <v>366</v>
      </c>
      <c r="D96">
        <v>2024</v>
      </c>
      <c r="E96" t="s">
        <v>366</v>
      </c>
      <c r="G96" s="2" t="s">
        <v>366</v>
      </c>
    </row>
    <row r="97" spans="1:13" x14ac:dyDescent="0.25">
      <c r="A97" t="s">
        <v>150</v>
      </c>
      <c r="B97">
        <v>3</v>
      </c>
      <c r="C97" t="s">
        <v>363</v>
      </c>
      <c r="D97">
        <v>2024</v>
      </c>
      <c r="E97" t="s">
        <v>364</v>
      </c>
      <c r="F97" s="2">
        <v>307531</v>
      </c>
      <c r="G97" s="2">
        <v>163907</v>
      </c>
      <c r="I97" s="2">
        <v>2177351</v>
      </c>
      <c r="J97" s="2">
        <v>2177351</v>
      </c>
      <c r="K97" s="2">
        <v>2177351</v>
      </c>
      <c r="L97" s="2">
        <v>131126</v>
      </c>
      <c r="M97" s="2">
        <v>32781</v>
      </c>
    </row>
    <row r="98" spans="1:13" x14ac:dyDescent="0.25">
      <c r="A98" t="s">
        <v>151</v>
      </c>
      <c r="B98">
        <v>1</v>
      </c>
      <c r="C98" t="s">
        <v>366</v>
      </c>
      <c r="D98">
        <v>2024</v>
      </c>
      <c r="E98" t="s">
        <v>366</v>
      </c>
      <c r="G98" s="2" t="s">
        <v>366</v>
      </c>
    </row>
    <row r="99" spans="1:13" x14ac:dyDescent="0.25">
      <c r="A99" t="s">
        <v>152</v>
      </c>
      <c r="B99">
        <v>4</v>
      </c>
      <c r="C99" t="s">
        <v>366</v>
      </c>
      <c r="D99">
        <v>2024</v>
      </c>
      <c r="E99" t="s">
        <v>366</v>
      </c>
      <c r="G99" s="2" t="s">
        <v>366</v>
      </c>
    </row>
    <row r="100" spans="1:13" x14ac:dyDescent="0.25">
      <c r="A100" t="s">
        <v>153</v>
      </c>
      <c r="B100">
        <v>5</v>
      </c>
      <c r="C100" t="s">
        <v>366</v>
      </c>
      <c r="D100">
        <v>2024</v>
      </c>
      <c r="E100" t="s">
        <v>366</v>
      </c>
      <c r="G100" s="2" t="s">
        <v>366</v>
      </c>
    </row>
    <row r="101" spans="1:13" x14ac:dyDescent="0.25">
      <c r="A101" t="s">
        <v>154</v>
      </c>
      <c r="B101">
        <v>5</v>
      </c>
      <c r="C101" t="s">
        <v>368</v>
      </c>
      <c r="D101">
        <v>2024</v>
      </c>
      <c r="E101" t="s">
        <v>361</v>
      </c>
      <c r="G101" s="2">
        <v>200520</v>
      </c>
      <c r="I101" s="2">
        <v>251520</v>
      </c>
      <c r="K101" s="2">
        <v>251520</v>
      </c>
      <c r="L101" s="2">
        <v>200520</v>
      </c>
    </row>
    <row r="102" spans="1:13" x14ac:dyDescent="0.25">
      <c r="A102" t="s">
        <v>155</v>
      </c>
      <c r="B102">
        <v>5</v>
      </c>
      <c r="C102" t="s">
        <v>366</v>
      </c>
      <c r="D102">
        <v>2024</v>
      </c>
      <c r="E102" t="s">
        <v>366</v>
      </c>
      <c r="G102" s="2" t="s">
        <v>366</v>
      </c>
    </row>
    <row r="103" spans="1:13" x14ac:dyDescent="0.25">
      <c r="A103" t="s">
        <v>156</v>
      </c>
      <c r="B103">
        <v>5</v>
      </c>
      <c r="C103" t="s">
        <v>366</v>
      </c>
      <c r="D103">
        <v>2024</v>
      </c>
      <c r="E103" t="s">
        <v>366</v>
      </c>
      <c r="G103" s="2" t="s">
        <v>366</v>
      </c>
    </row>
    <row r="104" spans="1:13" x14ac:dyDescent="0.25">
      <c r="A104" t="s">
        <v>157</v>
      </c>
      <c r="B104">
        <v>3</v>
      </c>
      <c r="C104" t="s">
        <v>363</v>
      </c>
      <c r="D104">
        <v>2024</v>
      </c>
      <c r="E104" t="s">
        <v>365</v>
      </c>
      <c r="G104" s="2">
        <v>2679</v>
      </c>
      <c r="I104" s="2">
        <v>2679</v>
      </c>
      <c r="K104" s="2">
        <v>2679</v>
      </c>
      <c r="L104" s="2">
        <v>2679</v>
      </c>
    </row>
    <row r="105" spans="1:13" x14ac:dyDescent="0.25">
      <c r="A105" t="s">
        <v>158</v>
      </c>
      <c r="B105">
        <v>4</v>
      </c>
      <c r="C105" t="s">
        <v>366</v>
      </c>
      <c r="D105">
        <v>2024</v>
      </c>
      <c r="E105" t="s">
        <v>366</v>
      </c>
      <c r="G105" s="2" t="s">
        <v>366</v>
      </c>
    </row>
    <row r="106" spans="1:13" x14ac:dyDescent="0.25">
      <c r="A106" t="s">
        <v>159</v>
      </c>
      <c r="B106">
        <v>1</v>
      </c>
      <c r="C106" t="s">
        <v>366</v>
      </c>
      <c r="D106">
        <v>2024</v>
      </c>
      <c r="E106" t="s">
        <v>366</v>
      </c>
      <c r="G106" s="2" t="s">
        <v>366</v>
      </c>
    </row>
    <row r="107" spans="1:13" x14ac:dyDescent="0.25">
      <c r="A107" t="s">
        <v>160</v>
      </c>
      <c r="B107">
        <v>1</v>
      </c>
      <c r="C107" t="s">
        <v>366</v>
      </c>
      <c r="D107">
        <v>2024</v>
      </c>
      <c r="E107" t="s">
        <v>366</v>
      </c>
      <c r="G107" s="2" t="s">
        <v>366</v>
      </c>
    </row>
    <row r="108" spans="1:13" x14ac:dyDescent="0.25">
      <c r="A108" t="s">
        <v>161</v>
      </c>
      <c r="B108">
        <v>3</v>
      </c>
      <c r="C108" t="s">
        <v>366</v>
      </c>
      <c r="D108">
        <v>2024</v>
      </c>
      <c r="E108" t="s">
        <v>366</v>
      </c>
      <c r="G108" s="2" t="s">
        <v>366</v>
      </c>
    </row>
    <row r="109" spans="1:13" x14ac:dyDescent="0.25">
      <c r="A109" t="s">
        <v>162</v>
      </c>
      <c r="B109">
        <v>4</v>
      </c>
      <c r="C109" t="s">
        <v>363</v>
      </c>
      <c r="D109">
        <v>2024</v>
      </c>
      <c r="E109" t="s">
        <v>365</v>
      </c>
      <c r="G109" s="2">
        <v>28582</v>
      </c>
    </row>
    <row r="110" spans="1:13" x14ac:dyDescent="0.25">
      <c r="A110" t="s">
        <v>163</v>
      </c>
      <c r="B110">
        <v>3</v>
      </c>
      <c r="C110" t="s">
        <v>366</v>
      </c>
      <c r="D110">
        <v>2024</v>
      </c>
      <c r="E110" t="s">
        <v>366</v>
      </c>
      <c r="G110" s="2" t="s">
        <v>366</v>
      </c>
    </row>
    <row r="111" spans="1:13" x14ac:dyDescent="0.25">
      <c r="A111" t="s">
        <v>164</v>
      </c>
      <c r="B111">
        <v>5</v>
      </c>
      <c r="C111" t="s">
        <v>366</v>
      </c>
      <c r="D111">
        <v>2024</v>
      </c>
      <c r="E111" t="s">
        <v>366</v>
      </c>
      <c r="G111" s="2" t="s">
        <v>366</v>
      </c>
    </row>
    <row r="112" spans="1:13" x14ac:dyDescent="0.25">
      <c r="A112" t="s">
        <v>165</v>
      </c>
      <c r="B112">
        <v>5</v>
      </c>
      <c r="C112" t="s">
        <v>366</v>
      </c>
      <c r="D112">
        <v>2024</v>
      </c>
      <c r="E112" t="s">
        <v>366</v>
      </c>
      <c r="F112" s="2">
        <v>10000</v>
      </c>
      <c r="G112" s="2" t="s">
        <v>366</v>
      </c>
    </row>
    <row r="113" spans="1:14" x14ac:dyDescent="0.25">
      <c r="A113" t="s">
        <v>166</v>
      </c>
      <c r="B113">
        <v>4</v>
      </c>
      <c r="C113" t="s">
        <v>368</v>
      </c>
      <c r="D113">
        <v>2024</v>
      </c>
      <c r="E113" t="s">
        <v>361</v>
      </c>
      <c r="F113" s="2">
        <v>17500</v>
      </c>
      <c r="G113" s="2">
        <v>0</v>
      </c>
      <c r="I113" s="2">
        <v>157500</v>
      </c>
      <c r="K113" s="2">
        <v>45000</v>
      </c>
    </row>
    <row r="114" spans="1:14" x14ac:dyDescent="0.25">
      <c r="A114" t="s">
        <v>166</v>
      </c>
      <c r="B114">
        <v>4</v>
      </c>
      <c r="C114" t="s">
        <v>363</v>
      </c>
      <c r="D114">
        <v>2024</v>
      </c>
      <c r="E114" t="s">
        <v>365</v>
      </c>
      <c r="F114" s="2">
        <v>72</v>
      </c>
      <c r="G114" s="2">
        <v>28510</v>
      </c>
    </row>
    <row r="115" spans="1:14" x14ac:dyDescent="0.25">
      <c r="A115" t="s">
        <v>167</v>
      </c>
      <c r="B115">
        <v>4</v>
      </c>
      <c r="C115" t="s">
        <v>366</v>
      </c>
      <c r="D115">
        <v>2024</v>
      </c>
      <c r="E115" t="s">
        <v>366</v>
      </c>
      <c r="G115" s="2" t="s">
        <v>366</v>
      </c>
    </row>
    <row r="116" spans="1:14" x14ac:dyDescent="0.25">
      <c r="A116" t="s">
        <v>168</v>
      </c>
      <c r="B116">
        <v>4</v>
      </c>
      <c r="C116" t="s">
        <v>366</v>
      </c>
      <c r="D116">
        <v>2024</v>
      </c>
      <c r="E116" t="s">
        <v>366</v>
      </c>
      <c r="G116" s="2" t="s">
        <v>366</v>
      </c>
    </row>
    <row r="117" spans="1:14" x14ac:dyDescent="0.25">
      <c r="A117" t="s">
        <v>169</v>
      </c>
      <c r="B117">
        <v>2</v>
      </c>
      <c r="C117" t="s">
        <v>363</v>
      </c>
      <c r="D117">
        <v>2024</v>
      </c>
      <c r="E117" t="s">
        <v>364</v>
      </c>
      <c r="G117" s="2">
        <v>0</v>
      </c>
      <c r="I117" s="2">
        <v>800000</v>
      </c>
      <c r="J117" s="2">
        <v>800000</v>
      </c>
      <c r="K117" s="2">
        <v>800000</v>
      </c>
      <c r="N117" s="2">
        <v>230000</v>
      </c>
    </row>
    <row r="118" spans="1:14" x14ac:dyDescent="0.25">
      <c r="A118" t="s">
        <v>169</v>
      </c>
      <c r="B118">
        <v>2</v>
      </c>
      <c r="C118" t="s">
        <v>363</v>
      </c>
      <c r="D118">
        <v>2024</v>
      </c>
      <c r="E118" t="s">
        <v>365</v>
      </c>
      <c r="N118" s="2">
        <v>210000</v>
      </c>
    </row>
    <row r="119" spans="1:14" x14ac:dyDescent="0.25">
      <c r="A119" t="s">
        <v>169</v>
      </c>
      <c r="B119">
        <v>2</v>
      </c>
      <c r="C119" t="s">
        <v>363</v>
      </c>
      <c r="D119">
        <v>2024</v>
      </c>
      <c r="E119" t="s">
        <v>364</v>
      </c>
      <c r="I119" s="2">
        <v>1381000</v>
      </c>
      <c r="J119" s="2">
        <v>1381000</v>
      </c>
      <c r="K119" s="2">
        <v>1381000</v>
      </c>
      <c r="N119" s="2">
        <v>365342</v>
      </c>
    </row>
    <row r="120" spans="1:14" x14ac:dyDescent="0.25">
      <c r="A120" t="s">
        <v>170</v>
      </c>
      <c r="B120">
        <v>3</v>
      </c>
      <c r="C120" t="s">
        <v>363</v>
      </c>
      <c r="D120">
        <v>2024</v>
      </c>
      <c r="E120" t="s">
        <v>365</v>
      </c>
      <c r="F120" s="2">
        <v>270780</v>
      </c>
      <c r="G120" s="2">
        <v>144320</v>
      </c>
      <c r="I120" s="2">
        <v>415100</v>
      </c>
      <c r="K120" s="2">
        <v>415100</v>
      </c>
      <c r="L120" s="2">
        <v>115456</v>
      </c>
      <c r="M120" s="2">
        <v>28864</v>
      </c>
    </row>
    <row r="121" spans="1:14" x14ac:dyDescent="0.25">
      <c r="A121" t="s">
        <v>171</v>
      </c>
      <c r="B121">
        <v>3</v>
      </c>
      <c r="C121" t="s">
        <v>363</v>
      </c>
      <c r="D121">
        <v>2024</v>
      </c>
      <c r="E121" t="s">
        <v>365</v>
      </c>
      <c r="F121" s="2">
        <v>63037</v>
      </c>
      <c r="G121" s="2">
        <v>33598</v>
      </c>
      <c r="I121" s="2">
        <v>96635</v>
      </c>
      <c r="K121" s="2">
        <v>96635</v>
      </c>
      <c r="L121" s="2">
        <v>26878</v>
      </c>
      <c r="M121" s="2">
        <v>6720</v>
      </c>
    </row>
    <row r="122" spans="1:14" x14ac:dyDescent="0.25">
      <c r="A122" t="s">
        <v>172</v>
      </c>
      <c r="B122">
        <v>1</v>
      </c>
      <c r="C122" t="s">
        <v>366</v>
      </c>
      <c r="D122">
        <v>2024</v>
      </c>
      <c r="E122" t="s">
        <v>366</v>
      </c>
      <c r="G122" s="2" t="s">
        <v>366</v>
      </c>
    </row>
    <row r="123" spans="1:14" x14ac:dyDescent="0.25">
      <c r="A123" t="s">
        <v>174</v>
      </c>
      <c r="B123">
        <v>4</v>
      </c>
      <c r="C123" t="s">
        <v>363</v>
      </c>
      <c r="D123">
        <v>2024</v>
      </c>
      <c r="E123" t="s">
        <v>365</v>
      </c>
      <c r="G123" s="2">
        <v>7142</v>
      </c>
    </row>
    <row r="124" spans="1:14" x14ac:dyDescent="0.25">
      <c r="A124" t="s">
        <v>174</v>
      </c>
      <c r="B124">
        <v>4</v>
      </c>
      <c r="C124" t="s">
        <v>367</v>
      </c>
      <c r="D124">
        <v>2024</v>
      </c>
      <c r="E124" t="s">
        <v>365</v>
      </c>
      <c r="G124" s="2">
        <v>2500</v>
      </c>
    </row>
    <row r="125" spans="1:14" x14ac:dyDescent="0.25">
      <c r="A125" t="s">
        <v>173</v>
      </c>
      <c r="B125">
        <v>5</v>
      </c>
      <c r="C125" t="s">
        <v>366</v>
      </c>
      <c r="D125">
        <v>2024</v>
      </c>
      <c r="E125" t="s">
        <v>366</v>
      </c>
      <c r="G125" s="2" t="s">
        <v>366</v>
      </c>
    </row>
    <row r="126" spans="1:14" x14ac:dyDescent="0.25">
      <c r="A126" t="s">
        <v>175</v>
      </c>
      <c r="B126">
        <v>3</v>
      </c>
      <c r="C126" t="s">
        <v>360</v>
      </c>
      <c r="D126">
        <v>2024</v>
      </c>
      <c r="E126" t="s">
        <v>361</v>
      </c>
      <c r="F126" s="2">
        <v>28133</v>
      </c>
      <c r="G126" s="2">
        <v>0</v>
      </c>
      <c r="I126" s="2">
        <v>252867</v>
      </c>
      <c r="J126" s="2">
        <v>252867</v>
      </c>
      <c r="K126" s="2">
        <v>252867</v>
      </c>
    </row>
    <row r="127" spans="1:14" x14ac:dyDescent="0.25">
      <c r="A127" t="s">
        <v>175</v>
      </c>
      <c r="B127">
        <v>3</v>
      </c>
      <c r="C127" t="s">
        <v>363</v>
      </c>
      <c r="D127">
        <v>2024</v>
      </c>
      <c r="E127" t="s">
        <v>364</v>
      </c>
      <c r="G127" s="2">
        <v>0</v>
      </c>
      <c r="I127" s="2">
        <v>500000</v>
      </c>
      <c r="J127" s="2">
        <v>500000</v>
      </c>
      <c r="K127" s="2">
        <v>500000</v>
      </c>
    </row>
    <row r="128" spans="1:14" x14ac:dyDescent="0.25">
      <c r="A128" t="s">
        <v>176</v>
      </c>
      <c r="B128">
        <v>3</v>
      </c>
      <c r="C128" t="s">
        <v>366</v>
      </c>
      <c r="D128">
        <v>2024</v>
      </c>
      <c r="E128" t="s">
        <v>366</v>
      </c>
      <c r="G128" s="2" t="s">
        <v>366</v>
      </c>
    </row>
    <row r="129" spans="1:14" x14ac:dyDescent="0.25">
      <c r="A129" t="s">
        <v>177</v>
      </c>
      <c r="B129">
        <v>1</v>
      </c>
      <c r="C129" t="s">
        <v>366</v>
      </c>
      <c r="D129">
        <v>2024</v>
      </c>
      <c r="E129" t="s">
        <v>366</v>
      </c>
      <c r="F129" s="2">
        <v>0</v>
      </c>
      <c r="G129" s="2" t="s">
        <v>366</v>
      </c>
      <c r="I129" s="2">
        <v>0</v>
      </c>
      <c r="K129" s="2">
        <v>0</v>
      </c>
    </row>
    <row r="130" spans="1:14" x14ac:dyDescent="0.25">
      <c r="A130" t="s">
        <v>369</v>
      </c>
      <c r="B130">
        <v>1</v>
      </c>
      <c r="C130" t="s">
        <v>363</v>
      </c>
      <c r="D130">
        <v>2024</v>
      </c>
      <c r="E130" t="s">
        <v>364</v>
      </c>
      <c r="F130" s="2">
        <v>39264</v>
      </c>
      <c r="G130" s="2">
        <v>0</v>
      </c>
      <c r="I130" s="2">
        <v>150000</v>
      </c>
      <c r="J130" s="2">
        <v>150000</v>
      </c>
      <c r="K130" s="2">
        <v>150000</v>
      </c>
    </row>
    <row r="131" spans="1:14" x14ac:dyDescent="0.25">
      <c r="A131" t="s">
        <v>369</v>
      </c>
      <c r="B131">
        <v>1</v>
      </c>
      <c r="C131" t="s">
        <v>363</v>
      </c>
      <c r="D131">
        <v>2024</v>
      </c>
      <c r="E131" t="s">
        <v>364</v>
      </c>
      <c r="F131" s="2">
        <v>19632</v>
      </c>
      <c r="G131" s="2">
        <v>0</v>
      </c>
      <c r="I131" s="2">
        <v>85000</v>
      </c>
      <c r="J131" s="2">
        <v>85000</v>
      </c>
      <c r="K131" s="2">
        <v>85000</v>
      </c>
    </row>
    <row r="132" spans="1:14" x14ac:dyDescent="0.25">
      <c r="A132" t="s">
        <v>178</v>
      </c>
      <c r="B132">
        <v>1</v>
      </c>
      <c r="C132" t="s">
        <v>367</v>
      </c>
      <c r="D132">
        <v>2024</v>
      </c>
      <c r="E132" t="s">
        <v>364</v>
      </c>
      <c r="I132" s="2">
        <v>34000</v>
      </c>
      <c r="J132" s="2">
        <v>34000</v>
      </c>
      <c r="K132" s="2">
        <v>34000</v>
      </c>
    </row>
    <row r="133" spans="1:14" x14ac:dyDescent="0.25">
      <c r="A133" t="s">
        <v>179</v>
      </c>
      <c r="B133">
        <v>3</v>
      </c>
      <c r="C133" t="s">
        <v>366</v>
      </c>
      <c r="D133">
        <v>2024</v>
      </c>
      <c r="E133" t="s">
        <v>366</v>
      </c>
      <c r="G133" s="2" t="s">
        <v>366</v>
      </c>
    </row>
    <row r="134" spans="1:14" x14ac:dyDescent="0.25">
      <c r="A134" t="s">
        <v>180</v>
      </c>
      <c r="B134">
        <v>3</v>
      </c>
      <c r="C134" t="s">
        <v>366</v>
      </c>
      <c r="D134">
        <v>2024</v>
      </c>
      <c r="E134" t="s">
        <v>366</v>
      </c>
      <c r="G134" s="2" t="s">
        <v>366</v>
      </c>
    </row>
    <row r="135" spans="1:14" x14ac:dyDescent="0.25">
      <c r="A135" t="s">
        <v>181</v>
      </c>
      <c r="B135">
        <v>3</v>
      </c>
      <c r="C135" t="s">
        <v>363</v>
      </c>
      <c r="D135">
        <v>2024</v>
      </c>
      <c r="E135" t="s">
        <v>365</v>
      </c>
      <c r="G135" s="2">
        <v>10254</v>
      </c>
      <c r="I135" s="2">
        <v>10254</v>
      </c>
      <c r="K135" s="2">
        <v>10254</v>
      </c>
      <c r="L135" s="2">
        <v>10254</v>
      </c>
    </row>
    <row r="136" spans="1:14" x14ac:dyDescent="0.25">
      <c r="A136" t="s">
        <v>182</v>
      </c>
      <c r="B136">
        <v>1</v>
      </c>
      <c r="C136" t="s">
        <v>366</v>
      </c>
      <c r="D136">
        <v>2024</v>
      </c>
      <c r="E136" t="s">
        <v>366</v>
      </c>
      <c r="G136" s="2" t="s">
        <v>366</v>
      </c>
    </row>
    <row r="137" spans="1:14" x14ac:dyDescent="0.25">
      <c r="A137" t="s">
        <v>183</v>
      </c>
      <c r="B137">
        <v>3</v>
      </c>
      <c r="C137" t="s">
        <v>363</v>
      </c>
      <c r="D137">
        <v>2024</v>
      </c>
      <c r="E137" t="s">
        <v>364</v>
      </c>
      <c r="G137" s="2">
        <v>0</v>
      </c>
      <c r="I137" s="2">
        <v>1000000</v>
      </c>
      <c r="J137" s="2">
        <v>1000000</v>
      </c>
      <c r="K137" s="2">
        <v>1000000</v>
      </c>
      <c r="N137" s="2">
        <v>200000</v>
      </c>
    </row>
    <row r="138" spans="1:14" x14ac:dyDescent="0.25">
      <c r="A138" t="s">
        <v>184</v>
      </c>
      <c r="B138">
        <v>5</v>
      </c>
      <c r="C138" t="s">
        <v>366</v>
      </c>
      <c r="D138">
        <v>2024</v>
      </c>
      <c r="E138" t="s">
        <v>366</v>
      </c>
      <c r="G138" s="2" t="s">
        <v>366</v>
      </c>
    </row>
    <row r="139" spans="1:14" x14ac:dyDescent="0.25">
      <c r="A139" t="s">
        <v>185</v>
      </c>
      <c r="B139">
        <v>1</v>
      </c>
      <c r="C139" t="s">
        <v>363</v>
      </c>
      <c r="D139">
        <v>2024</v>
      </c>
      <c r="E139" t="s">
        <v>365</v>
      </c>
      <c r="F139" s="2">
        <v>0</v>
      </c>
      <c r="G139" s="2">
        <v>91390</v>
      </c>
      <c r="I139" s="2">
        <v>91390</v>
      </c>
      <c r="K139" s="2">
        <v>91390</v>
      </c>
      <c r="L139" s="2">
        <v>91390</v>
      </c>
    </row>
    <row r="140" spans="1:14" x14ac:dyDescent="0.25">
      <c r="A140" t="s">
        <v>186</v>
      </c>
      <c r="B140">
        <v>1</v>
      </c>
      <c r="C140" t="s">
        <v>360</v>
      </c>
      <c r="D140">
        <v>2024</v>
      </c>
      <c r="E140" t="s">
        <v>361</v>
      </c>
      <c r="F140" s="2">
        <v>0</v>
      </c>
      <c r="G140" s="2">
        <v>0</v>
      </c>
      <c r="I140" s="2">
        <v>124754.72</v>
      </c>
      <c r="J140" s="2">
        <v>124755</v>
      </c>
      <c r="K140" s="2">
        <v>124754.72</v>
      </c>
    </row>
    <row r="141" spans="1:14" x14ac:dyDescent="0.25">
      <c r="A141" t="s">
        <v>186</v>
      </c>
      <c r="B141">
        <v>1</v>
      </c>
      <c r="C141" t="s">
        <v>363</v>
      </c>
      <c r="D141">
        <v>2024</v>
      </c>
      <c r="E141" t="s">
        <v>364</v>
      </c>
      <c r="F141" s="2">
        <v>7514</v>
      </c>
      <c r="G141" s="2">
        <v>71526</v>
      </c>
      <c r="I141" s="2">
        <v>695704</v>
      </c>
      <c r="J141" s="2">
        <v>695704</v>
      </c>
      <c r="K141" s="2">
        <v>695704</v>
      </c>
      <c r="L141" s="2">
        <v>32270</v>
      </c>
      <c r="M141" s="2">
        <v>39256</v>
      </c>
    </row>
    <row r="142" spans="1:14" x14ac:dyDescent="0.25">
      <c r="A142" t="s">
        <v>187</v>
      </c>
      <c r="B142">
        <v>1</v>
      </c>
      <c r="C142" t="s">
        <v>366</v>
      </c>
      <c r="D142">
        <v>2024</v>
      </c>
      <c r="E142" t="s">
        <v>366</v>
      </c>
      <c r="F142" s="2">
        <v>5000</v>
      </c>
      <c r="G142" s="2" t="s">
        <v>366</v>
      </c>
      <c r="I142" s="2">
        <v>0</v>
      </c>
      <c r="K142" s="2">
        <v>0</v>
      </c>
    </row>
    <row r="143" spans="1:14" x14ac:dyDescent="0.25">
      <c r="A143" t="s">
        <v>188</v>
      </c>
      <c r="B143">
        <v>5</v>
      </c>
      <c r="C143" t="s">
        <v>368</v>
      </c>
      <c r="D143">
        <v>2024</v>
      </c>
      <c r="E143" t="s">
        <v>361</v>
      </c>
      <c r="F143" s="2">
        <v>45076</v>
      </c>
      <c r="G143" s="2">
        <v>0</v>
      </c>
      <c r="I143" s="2">
        <v>180304</v>
      </c>
      <c r="K143" s="2">
        <v>180304</v>
      </c>
    </row>
    <row r="144" spans="1:14" x14ac:dyDescent="0.25">
      <c r="A144" t="s">
        <v>188</v>
      </c>
      <c r="B144">
        <v>5</v>
      </c>
      <c r="C144" t="s">
        <v>368</v>
      </c>
      <c r="D144">
        <v>2024</v>
      </c>
      <c r="E144" t="s">
        <v>361</v>
      </c>
      <c r="F144" s="2">
        <v>10000</v>
      </c>
      <c r="G144" s="2">
        <v>0</v>
      </c>
    </row>
    <row r="145" spans="1:14" x14ac:dyDescent="0.25">
      <c r="A145" t="s">
        <v>189</v>
      </c>
      <c r="B145">
        <v>4</v>
      </c>
      <c r="C145" t="s">
        <v>366</v>
      </c>
      <c r="D145">
        <v>2024</v>
      </c>
      <c r="E145" t="s">
        <v>366</v>
      </c>
      <c r="G145" s="2" t="s">
        <v>366</v>
      </c>
    </row>
    <row r="146" spans="1:14" x14ac:dyDescent="0.25">
      <c r="A146" t="s">
        <v>190</v>
      </c>
      <c r="B146">
        <v>4</v>
      </c>
      <c r="C146" t="s">
        <v>366</v>
      </c>
      <c r="D146">
        <v>2024</v>
      </c>
      <c r="E146" t="s">
        <v>366</v>
      </c>
      <c r="G146" s="2" t="s">
        <v>366</v>
      </c>
    </row>
    <row r="147" spans="1:14" x14ac:dyDescent="0.25">
      <c r="A147" t="s">
        <v>12</v>
      </c>
      <c r="B147">
        <v>3</v>
      </c>
      <c r="C147" t="s">
        <v>366</v>
      </c>
      <c r="D147">
        <v>2024</v>
      </c>
      <c r="E147" t="s">
        <v>366</v>
      </c>
      <c r="G147" s="2" t="s">
        <v>366</v>
      </c>
    </row>
    <row r="148" spans="1:14" x14ac:dyDescent="0.25">
      <c r="A148" t="s">
        <v>191</v>
      </c>
      <c r="B148">
        <v>5</v>
      </c>
      <c r="C148" t="s">
        <v>367</v>
      </c>
      <c r="D148">
        <v>2024</v>
      </c>
      <c r="E148" t="s">
        <v>364</v>
      </c>
      <c r="F148" s="2">
        <v>10000</v>
      </c>
      <c r="G148" s="2">
        <v>0</v>
      </c>
      <c r="I148" s="2">
        <v>50000</v>
      </c>
    </row>
    <row r="149" spans="1:14" x14ac:dyDescent="0.25">
      <c r="A149" t="s">
        <v>192</v>
      </c>
      <c r="B149">
        <v>1</v>
      </c>
      <c r="C149" t="s">
        <v>366</v>
      </c>
      <c r="D149">
        <v>2024</v>
      </c>
      <c r="E149" t="s">
        <v>366</v>
      </c>
      <c r="G149" s="2" t="s">
        <v>366</v>
      </c>
    </row>
    <row r="150" spans="1:14" x14ac:dyDescent="0.25">
      <c r="A150" t="s">
        <v>193</v>
      </c>
      <c r="B150">
        <v>3</v>
      </c>
      <c r="C150" t="s">
        <v>363</v>
      </c>
      <c r="D150">
        <v>2024</v>
      </c>
      <c r="E150" t="s">
        <v>364</v>
      </c>
      <c r="G150" s="2">
        <v>0</v>
      </c>
      <c r="I150" s="2">
        <v>745000</v>
      </c>
      <c r="J150" s="2">
        <v>745000</v>
      </c>
      <c r="K150" s="2">
        <v>745000</v>
      </c>
      <c r="N150" s="2">
        <v>755000</v>
      </c>
    </row>
    <row r="151" spans="1:14" x14ac:dyDescent="0.25">
      <c r="A151" t="s">
        <v>193</v>
      </c>
      <c r="B151">
        <v>3</v>
      </c>
      <c r="C151" t="s">
        <v>360</v>
      </c>
      <c r="D151">
        <v>2023</v>
      </c>
      <c r="E151" t="s">
        <v>366</v>
      </c>
      <c r="I151" s="2">
        <v>115970</v>
      </c>
      <c r="J151" s="2">
        <v>115970</v>
      </c>
      <c r="K151" s="2">
        <v>115970</v>
      </c>
    </row>
    <row r="152" spans="1:14" x14ac:dyDescent="0.25">
      <c r="A152" t="s">
        <v>194</v>
      </c>
      <c r="B152">
        <v>1</v>
      </c>
      <c r="C152" t="s">
        <v>367</v>
      </c>
      <c r="D152">
        <v>2024</v>
      </c>
      <c r="E152" t="s">
        <v>364</v>
      </c>
      <c r="F152" s="2">
        <v>5000</v>
      </c>
      <c r="G152" s="2">
        <v>0</v>
      </c>
      <c r="I152" s="2">
        <v>100000</v>
      </c>
      <c r="J152" s="2">
        <v>100000</v>
      </c>
      <c r="K152" s="2">
        <v>100000</v>
      </c>
    </row>
    <row r="153" spans="1:14" x14ac:dyDescent="0.25">
      <c r="A153" t="s">
        <v>195</v>
      </c>
      <c r="B153">
        <v>5</v>
      </c>
      <c r="C153" t="s">
        <v>366</v>
      </c>
      <c r="D153">
        <v>2024</v>
      </c>
      <c r="E153" t="s">
        <v>366</v>
      </c>
      <c r="G153" s="2" t="s">
        <v>366</v>
      </c>
    </row>
    <row r="154" spans="1:14" x14ac:dyDescent="0.25">
      <c r="A154" t="s">
        <v>196</v>
      </c>
      <c r="B154">
        <v>5</v>
      </c>
      <c r="C154" t="s">
        <v>366</v>
      </c>
      <c r="D154">
        <v>2024</v>
      </c>
      <c r="E154" t="s">
        <v>366</v>
      </c>
      <c r="G154" s="2" t="s">
        <v>366</v>
      </c>
    </row>
    <row r="155" spans="1:14" x14ac:dyDescent="0.25">
      <c r="A155" t="s">
        <v>197</v>
      </c>
      <c r="B155">
        <v>1</v>
      </c>
      <c r="C155" t="s">
        <v>366</v>
      </c>
      <c r="D155">
        <v>2024</v>
      </c>
      <c r="E155" t="s">
        <v>366</v>
      </c>
      <c r="G155" s="2" t="s">
        <v>366</v>
      </c>
    </row>
    <row r="156" spans="1:14" x14ac:dyDescent="0.25">
      <c r="A156" t="s">
        <v>198</v>
      </c>
      <c r="B156">
        <v>3</v>
      </c>
      <c r="C156" t="s">
        <v>363</v>
      </c>
      <c r="D156">
        <v>2024</v>
      </c>
      <c r="E156" t="s">
        <v>364</v>
      </c>
      <c r="G156" s="2">
        <v>42770</v>
      </c>
      <c r="I156" s="2">
        <v>276977</v>
      </c>
      <c r="J156" s="2">
        <v>276977</v>
      </c>
      <c r="K156" s="2">
        <v>276977</v>
      </c>
      <c r="L156" s="2">
        <v>42770</v>
      </c>
      <c r="N156" s="2">
        <v>91424</v>
      </c>
    </row>
    <row r="157" spans="1:14" x14ac:dyDescent="0.25">
      <c r="A157" t="s">
        <v>199</v>
      </c>
      <c r="B157">
        <v>3</v>
      </c>
      <c r="C157" t="s">
        <v>366</v>
      </c>
      <c r="D157">
        <v>2024</v>
      </c>
      <c r="E157" t="s">
        <v>366</v>
      </c>
      <c r="G157" s="2" t="s">
        <v>366</v>
      </c>
    </row>
    <row r="158" spans="1:14" x14ac:dyDescent="0.25">
      <c r="A158" t="s">
        <v>200</v>
      </c>
      <c r="B158">
        <v>5</v>
      </c>
      <c r="C158" t="s">
        <v>366</v>
      </c>
      <c r="D158">
        <v>2024</v>
      </c>
      <c r="E158" t="s">
        <v>366</v>
      </c>
      <c r="G158" s="2" t="s">
        <v>366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72CC5C0F29B64BA0034D38BEF06779" ma:contentTypeVersion="17" ma:contentTypeDescription="Create a new document." ma:contentTypeScope="" ma:versionID="390005360e196a7241160a39df56d505">
  <xsd:schema xmlns:xsd="http://www.w3.org/2001/XMLSchema" xmlns:xs="http://www.w3.org/2001/XMLSchema" xmlns:p="http://schemas.microsoft.com/office/2006/metadata/properties" xmlns:ns2="b26ac8a2-39d3-4c6c-a658-78bf8e690172" xmlns:ns3="9e4e78f1-e745-4d3d-baf9-5d7f88672421" targetNamespace="http://schemas.microsoft.com/office/2006/metadata/properties" ma:root="true" ma:fieldsID="fe745b379d3540e746aff9f946c85ce3" ns2:_="" ns3:_="">
    <xsd:import namespace="b26ac8a2-39d3-4c6c-a658-78bf8e690172"/>
    <xsd:import namespace="9e4e78f1-e745-4d3d-baf9-5d7f886724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6ac8a2-39d3-4c6c-a658-78bf8e690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0c5c75-cea6-455f-a63d-64ba3e3f96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4e78f1-e745-4d3d-baf9-5d7f886724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08e3ce-c4be-48e7-b228-69a7fd1d1a11}" ma:internalName="TaxCatchAll" ma:showField="CatchAllData" ma:web="9e4e78f1-e745-4d3d-baf9-5d7f886724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e4e78f1-e745-4d3d-baf9-5d7f88672421" xsi:nil="true"/>
    <lcf76f155ced4ddcb4097134ff3c332f xmlns="b26ac8a2-39d3-4c6c-a658-78bf8e690172">
      <Terms xmlns="http://schemas.microsoft.com/office/infopath/2007/PartnerControls"/>
    </lcf76f155ced4ddcb4097134ff3c332f>
    <SharedWithUsers xmlns="9e4e78f1-e745-4d3d-baf9-5d7f88672421">
      <UserInfo>
        <DisplayName>Charlie Lintecum</DisplayName>
        <AccountId>17</AccountId>
        <AccountType/>
      </UserInfo>
      <UserInfo>
        <DisplayName>Cindy Newman</DisplayName>
        <AccountId>60</AccountId>
        <AccountType/>
      </UserInfo>
      <UserInfo>
        <DisplayName>Tony McDowell</DisplayName>
        <AccountId>11</AccountId>
        <AccountType/>
      </UserInfo>
      <UserInfo>
        <DisplayName>Matthew Terrill</DisplayName>
        <AccountId>124</AccountId>
        <AccountType/>
      </UserInfo>
      <UserInfo>
        <DisplayName>Mary Anne Keena</DisplayName>
        <AccountId>78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3A757C-4650-4BBA-8D66-8F2A2A4DB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6ac8a2-39d3-4c6c-a658-78bf8e690172"/>
    <ds:schemaRef ds:uri="9e4e78f1-e745-4d3d-baf9-5d7f88672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5892F-B195-4862-9A55-CEA36C451336}">
  <ds:schemaRefs>
    <ds:schemaRef ds:uri="http://schemas.microsoft.com/office/2006/metadata/properties"/>
    <ds:schemaRef ds:uri="http://schemas.microsoft.com/office/infopath/2007/PartnerControls"/>
    <ds:schemaRef ds:uri="9e4e78f1-e745-4d3d-baf9-5d7f88672421"/>
    <ds:schemaRef ds:uri="b26ac8a2-39d3-4c6c-a658-78bf8e690172"/>
  </ds:schemaRefs>
</ds:datastoreItem>
</file>

<file path=customXml/itemProps3.xml><?xml version="1.0" encoding="utf-8"?>
<ds:datastoreItem xmlns:ds="http://schemas.openxmlformats.org/officeDocument/2006/customXml" ds:itemID="{D9A71169-3086-4EE7-9D69-97D15DE2A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City &amp; County Look-up</vt:lpstr>
      <vt:lpstr>Direct Dist. Details Look-up</vt:lpstr>
      <vt:lpstr>table for settlement look up</vt:lpstr>
      <vt:lpstr>Localities alpha</vt:lpstr>
      <vt:lpstr>Localities by region</vt:lpstr>
      <vt:lpstr>Approved individual amount data</vt:lpstr>
      <vt:lpstr>Approved gold standard amounts</vt:lpstr>
      <vt:lpstr>Direct share used as match data</vt:lpstr>
      <vt:lpstr>2025 coop match data</vt:lpstr>
      <vt:lpstr>Approved amendments</vt:lpstr>
      <vt:lpstr>Local dist eligible</vt:lpstr>
      <vt:lpstr>Local multi year dist</vt:lpstr>
      <vt:lpstr>Individual award multi year</vt:lpstr>
      <vt:lpstr>Multiyear data for vlookup</vt:lpstr>
      <vt:lpstr>Local dist tracking</vt:lpstr>
      <vt:lpstr>Indiv match sort</vt:lpstr>
      <vt:lpstr>Other data for vlookup</vt:lpstr>
      <vt:lpstr>'City &amp; County Look-up'!Print_Area</vt:lpstr>
      <vt:lpstr>'Direct Dist. Details Look-up'!Print_Area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Lintecum</dc:creator>
  <cp:keywords/>
  <dc:description/>
  <cp:lastModifiedBy>Matthew Terrill</cp:lastModifiedBy>
  <cp:revision/>
  <dcterms:created xsi:type="dcterms:W3CDTF">2023-06-12T13:49:19Z</dcterms:created>
  <dcterms:modified xsi:type="dcterms:W3CDTF">2025-01-10T14:11:48Z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0x010100E272CC5C0F29B64BA0034D38BEF06779</vt:lpwstr>
  </property>
  <property fmtid="{D5CDD505-2E9C-101B-9397-08002B2CF9AE}" pid="3" name="MediaServiceImageTags">
    <vt:lpwstr/>
  </property>
</Properties>
</file>